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Hillhead General\CORPORATE\Management Committee\Management Committee Meetings\Agendas &amp; Reports\2019\09- November\Finance Reports\"/>
    </mc:Choice>
  </mc:AlternateContent>
  <bookViews>
    <workbookView xWindow="0" yWindow="0" windowWidth="28800" windowHeight="11835" tabRatio="845"/>
  </bookViews>
  <sheets>
    <sheet name="Page 1" sheetId="2" r:id="rId1"/>
    <sheet name="Page 2" sheetId="3" r:id="rId2"/>
    <sheet name="Page 2a" sheetId="11" r:id="rId3"/>
    <sheet name="Page 2b" sheetId="12" r:id="rId4"/>
    <sheet name="Page 3" sheetId="5" r:id="rId5"/>
    <sheet name="Page 3a" sheetId="17" r:id="rId6"/>
    <sheet name="BAL SHEET CALCS" sheetId="15" state="hidden" r:id="rId7"/>
    <sheet name="Page 4" sheetId="20" r:id="rId8"/>
    <sheet name="Page 5" sheetId="7" r:id="rId9"/>
    <sheet name="Page 6" sheetId="1" r:id="rId10"/>
    <sheet name="Page 7" sheetId="13" r:id="rId11"/>
    <sheet name="Page 8" sheetId="4" r:id="rId12"/>
    <sheet name="Page 9" sheetId="6" r:id="rId13"/>
    <sheet name="Page 10" sheetId="9" r:id="rId14"/>
    <sheet name="CALCS" sheetId="14" state="hidden" r:id="rId15"/>
    <sheet name="Page 11" sheetId="8" r:id="rId16"/>
    <sheet name="Page 12" sheetId="18" r:id="rId17"/>
    <sheet name="Page 13" sheetId="19" state="hidden" r:id="rId18"/>
  </sheets>
  <definedNames>
    <definedName name="_xlnm.Print_Area" localSheetId="6">'BAL SHEET CALCS'!$A$1:$BK$56</definedName>
    <definedName name="_xlnm.Print_Area" localSheetId="14">CALCS!$A$1:$G$238</definedName>
    <definedName name="_xlnm.Print_Area" localSheetId="13">'Page 10'!$A$1:$P$36</definedName>
    <definedName name="_xlnm.Print_Area" localSheetId="17">'Page 13'!$A$1:$M$42</definedName>
    <definedName name="_xlnm.Print_Area" localSheetId="4">'Page 3'!$A$1:$J$56</definedName>
    <definedName name="_xlnm.Print_Area" localSheetId="9">'Page 6'!$A$1:$Q$55</definedName>
    <definedName name="_xlnm.Print_Area" localSheetId="11">'Page 8'!$A$1:$R$53</definedName>
    <definedName name="_xlnm.Print_Area" localSheetId="12">'Page 9'!$A$3:$Q$62</definedName>
  </definedNames>
  <calcPr calcId="162913"/>
</workbook>
</file>

<file path=xl/calcChain.xml><?xml version="1.0" encoding="utf-8"?>
<calcChain xmlns="http://schemas.openxmlformats.org/spreadsheetml/2006/main">
  <c r="E183" i="14" l="1"/>
  <c r="E179" i="14"/>
  <c r="F20" i="14"/>
  <c r="G9" i="8" s="1"/>
  <c r="G20" i="14"/>
  <c r="F82" i="14"/>
  <c r="F81" i="14"/>
  <c r="E81" i="14"/>
  <c r="E82" i="14"/>
  <c r="F38" i="14"/>
  <c r="E32" i="14"/>
  <c r="F32" i="14"/>
  <c r="E31" i="14"/>
  <c r="E30" i="14"/>
  <c r="F30" i="14"/>
  <c r="F7" i="13" l="1"/>
  <c r="R23" i="4"/>
  <c r="R20" i="4"/>
  <c r="R21" i="4"/>
  <c r="F161" i="14" l="1"/>
  <c r="F86" i="14" l="1"/>
  <c r="H34" i="20"/>
  <c r="H32" i="20"/>
  <c r="H24" i="20"/>
  <c r="H23" i="20"/>
  <c r="H22" i="20"/>
  <c r="H17" i="20"/>
  <c r="H16" i="20"/>
  <c r="H14" i="20"/>
  <c r="H13" i="20"/>
  <c r="J53" i="5"/>
  <c r="I43" i="5"/>
  <c r="I42" i="5"/>
  <c r="I37" i="5"/>
  <c r="I36" i="5"/>
  <c r="I35" i="5"/>
  <c r="I26" i="5"/>
  <c r="I25" i="5"/>
  <c r="I24" i="5"/>
  <c r="I12" i="5"/>
  <c r="H45" i="3"/>
  <c r="H44" i="3"/>
  <c r="H13" i="3"/>
  <c r="H22" i="2"/>
  <c r="F33" i="14" s="1"/>
  <c r="H21" i="2"/>
  <c r="H14" i="2"/>
  <c r="P31" i="9" l="1"/>
  <c r="BJ26" i="15" s="1"/>
  <c r="F15" i="20" s="1"/>
  <c r="E14" i="17" l="1"/>
  <c r="Q9" i="6" l="1"/>
  <c r="Q10" i="6"/>
  <c r="BH8" i="15" l="1"/>
  <c r="BH10" i="15" s="1"/>
  <c r="BH14" i="15" s="1"/>
  <c r="BH32" i="15"/>
  <c r="BH53" i="15"/>
  <c r="BI53" i="15" s="1"/>
  <c r="BH37" i="15"/>
  <c r="BI37" i="15" s="1"/>
  <c r="BH50" i="15"/>
  <c r="BH56" i="15" s="1"/>
  <c r="BH41" i="15"/>
  <c r="BH44" i="15" s="1"/>
  <c r="BH35" i="15"/>
  <c r="BH39" i="15" s="1"/>
  <c r="BH27" i="15"/>
  <c r="BH26" i="15"/>
  <c r="BH24" i="15"/>
  <c r="BH29" i="15" s="1"/>
  <c r="BH22" i="15"/>
  <c r="BH16" i="15"/>
  <c r="BH19" i="15" s="1"/>
  <c r="BH47" i="15" l="1"/>
  <c r="BH59" i="15"/>
  <c r="E16" i="14"/>
  <c r="E20" i="14" s="1"/>
  <c r="F9" i="8" s="1"/>
  <c r="O45" i="1" l="1"/>
  <c r="L45" i="1"/>
  <c r="I45" i="1"/>
  <c r="F45" i="1"/>
  <c r="D30" i="19" l="1"/>
  <c r="D31" i="19"/>
  <c r="D34" i="19"/>
  <c r="D33" i="19"/>
  <c r="D36" i="19"/>
  <c r="D11" i="19"/>
  <c r="D26" i="19"/>
  <c r="D25" i="19"/>
  <c r="D14" i="19"/>
  <c r="D13" i="19"/>
  <c r="E86" i="14" l="1"/>
  <c r="G57" i="14" l="1"/>
  <c r="J45" i="8"/>
  <c r="G161" i="14" l="1"/>
  <c r="G115" i="14"/>
  <c r="G60" i="14"/>
  <c r="G53" i="14"/>
  <c r="G43" i="14"/>
  <c r="G31" i="14"/>
  <c r="G35" i="14"/>
  <c r="G32" i="14"/>
  <c r="G33" i="14"/>
  <c r="G30" i="14"/>
  <c r="G29" i="14"/>
  <c r="E17" i="9"/>
  <c r="F17" i="9"/>
  <c r="G17" i="9"/>
  <c r="H17" i="9"/>
  <c r="I17" i="9"/>
  <c r="J17" i="9"/>
  <c r="K17" i="9"/>
  <c r="L17" i="9"/>
  <c r="M17" i="9"/>
  <c r="N17" i="9"/>
  <c r="O17" i="9"/>
  <c r="D17" i="9"/>
  <c r="G51" i="11"/>
  <c r="E29" i="9"/>
  <c r="F29" i="9"/>
  <c r="G29" i="9"/>
  <c r="H29" i="9"/>
  <c r="I29" i="9"/>
  <c r="J29" i="9"/>
  <c r="K29" i="9"/>
  <c r="L29" i="9"/>
  <c r="M29" i="9"/>
  <c r="N29" i="9"/>
  <c r="O29" i="9"/>
  <c r="D29" i="9"/>
  <c r="I49" i="1" l="1"/>
  <c r="F49" i="1"/>
  <c r="C34" i="6" l="1"/>
  <c r="BF32" i="15"/>
  <c r="BF23" i="15"/>
  <c r="BF8" i="15"/>
  <c r="O19" i="1" l="1"/>
  <c r="O18" i="1"/>
  <c r="P7" i="4" l="1"/>
  <c r="O8" i="1" l="1"/>
  <c r="O7" i="1"/>
  <c r="BF41" i="15" l="1"/>
  <c r="G50" i="11" l="1"/>
  <c r="I37" i="11"/>
  <c r="E36" i="11"/>
  <c r="D35" i="6" l="1"/>
  <c r="C42" i="6"/>
  <c r="R24" i="4"/>
  <c r="P53" i="4" l="1"/>
  <c r="M53" i="4"/>
  <c r="J53" i="4"/>
  <c r="G53" i="4"/>
  <c r="BF39" i="15" l="1"/>
  <c r="E16" i="9"/>
  <c r="F16" i="9"/>
  <c r="G16" i="9"/>
  <c r="H16" i="9"/>
  <c r="I16" i="9"/>
  <c r="J16" i="9"/>
  <c r="K16" i="9"/>
  <c r="L16" i="9"/>
  <c r="M16" i="9"/>
  <c r="N16" i="9"/>
  <c r="O16" i="9"/>
  <c r="D16" i="9"/>
  <c r="E15" i="9"/>
  <c r="F15" i="9"/>
  <c r="G15" i="9"/>
  <c r="H15" i="9"/>
  <c r="I15" i="9"/>
  <c r="J15" i="9"/>
  <c r="K15" i="9"/>
  <c r="L15" i="9"/>
  <c r="M15" i="9"/>
  <c r="N15" i="9"/>
  <c r="O15" i="9"/>
  <c r="D15" i="9"/>
  <c r="BG13" i="15"/>
  <c r="BI13" i="15" s="1"/>
  <c r="BG12" i="15"/>
  <c r="BI12" i="15" s="1"/>
  <c r="BF56" i="15"/>
  <c r="BF44" i="15"/>
  <c r="BF24" i="15"/>
  <c r="BF29" i="15" s="1"/>
  <c r="BF19" i="15"/>
  <c r="BF10" i="15"/>
  <c r="BF14" i="15" s="1"/>
  <c r="P16" i="9" l="1"/>
  <c r="F19" i="19" s="1"/>
  <c r="H19" i="19" s="1"/>
  <c r="BF47" i="15"/>
  <c r="BF59" i="15" s="1"/>
  <c r="P55" i="4" l="1"/>
  <c r="F55" i="4" l="1"/>
  <c r="G55" i="4"/>
  <c r="H55" i="4"/>
  <c r="I55" i="4"/>
  <c r="J55" i="4"/>
  <c r="K55" i="4"/>
  <c r="L55" i="4"/>
  <c r="M55" i="4"/>
  <c r="N55" i="4"/>
  <c r="O55" i="4"/>
  <c r="E55" i="4"/>
  <c r="O49" i="1"/>
  <c r="L49" i="1"/>
  <c r="D42" i="1"/>
  <c r="O44" i="1"/>
  <c r="L44" i="1"/>
  <c r="I44" i="1"/>
  <c r="F44" i="1"/>
  <c r="D44" i="1"/>
  <c r="E44" i="1"/>
  <c r="G44" i="1"/>
  <c r="H44" i="1"/>
  <c r="J44" i="1"/>
  <c r="K44" i="1"/>
  <c r="M44" i="1"/>
  <c r="N44" i="1"/>
  <c r="I46" i="1"/>
  <c r="O46" i="1"/>
  <c r="L46" i="1"/>
  <c r="F46" i="1"/>
  <c r="J45" i="1"/>
  <c r="F37" i="1"/>
  <c r="I37" i="1"/>
  <c r="O37" i="1"/>
  <c r="L37" i="1"/>
  <c r="D37" i="1"/>
  <c r="F34" i="1"/>
  <c r="F33" i="1"/>
  <c r="P11" i="4" l="1"/>
  <c r="F11" i="4"/>
  <c r="G11" i="4"/>
  <c r="H11" i="4"/>
  <c r="I11" i="4"/>
  <c r="J11" i="4"/>
  <c r="K11" i="4"/>
  <c r="L11" i="4"/>
  <c r="M11" i="4"/>
  <c r="N11" i="4"/>
  <c r="O11" i="4"/>
  <c r="E11" i="4"/>
  <c r="BC56" i="15" l="1"/>
  <c r="BC50" i="15"/>
  <c r="BC41" i="15"/>
  <c r="BC44" i="15"/>
  <c r="BC35" i="15"/>
  <c r="BC39" i="15" s="1"/>
  <c r="BC28" i="15"/>
  <c r="BC23" i="15"/>
  <c r="BC24" i="15"/>
  <c r="BC29" i="15" s="1"/>
  <c r="BC16" i="15"/>
  <c r="BC10" i="15"/>
  <c r="BC14" i="15" s="1"/>
  <c r="BE41" i="15"/>
  <c r="BE28" i="15"/>
  <c r="BE18" i="15"/>
  <c r="BE9" i="15"/>
  <c r="E7" i="7"/>
  <c r="F7" i="20"/>
  <c r="F53" i="14"/>
  <c r="F52" i="14"/>
  <c r="BC19" i="15" l="1"/>
  <c r="BC47" i="15"/>
  <c r="BC59" i="15" s="1"/>
  <c r="E141" i="14" l="1"/>
  <c r="R7" i="4"/>
  <c r="F10" i="3" s="1"/>
  <c r="F11" i="13"/>
  <c r="Q37" i="1"/>
  <c r="N11" i="13"/>
  <c r="N16" i="13" s="1"/>
  <c r="R11" i="13"/>
  <c r="R16" i="13" s="1"/>
  <c r="R52" i="4"/>
  <c r="F20" i="2" s="1"/>
  <c r="Q8" i="1"/>
  <c r="H25" i="3"/>
  <c r="H31" i="3" s="1"/>
  <c r="H47" i="3"/>
  <c r="D32" i="13"/>
  <c r="F32" i="13" s="1"/>
  <c r="F78" i="14"/>
  <c r="F87" i="14" s="1"/>
  <c r="F97" i="14" s="1"/>
  <c r="G27" i="8" s="1"/>
  <c r="E40" i="7"/>
  <c r="E45" i="7"/>
  <c r="G95" i="14"/>
  <c r="H25" i="8" s="1"/>
  <c r="P27" i="9"/>
  <c r="D57" i="6"/>
  <c r="D58" i="6"/>
  <c r="D59" i="6"/>
  <c r="D60" i="6"/>
  <c r="C58" i="6"/>
  <c r="C59" i="6"/>
  <c r="C60" i="6"/>
  <c r="C57" i="6"/>
  <c r="D54" i="6"/>
  <c r="C54" i="6"/>
  <c r="E50" i="6"/>
  <c r="E51" i="6"/>
  <c r="E52" i="6"/>
  <c r="E49" i="6"/>
  <c r="E34" i="6"/>
  <c r="E35" i="6"/>
  <c r="E36" i="6"/>
  <c r="E33" i="6"/>
  <c r="D38" i="6"/>
  <c r="C38" i="6"/>
  <c r="E42" i="6"/>
  <c r="E43" i="6"/>
  <c r="E44" i="6"/>
  <c r="E41" i="6"/>
  <c r="D46" i="6"/>
  <c r="C46" i="6"/>
  <c r="BA23" i="15"/>
  <c r="BA24" i="15" s="1"/>
  <c r="BA29" i="15" s="1"/>
  <c r="D30" i="9"/>
  <c r="E30" i="9"/>
  <c r="F30" i="9"/>
  <c r="G30" i="9"/>
  <c r="H30" i="9"/>
  <c r="I30" i="9"/>
  <c r="J30" i="9"/>
  <c r="K30" i="9"/>
  <c r="L30" i="9"/>
  <c r="M30" i="9"/>
  <c r="N30" i="9"/>
  <c r="E44" i="4"/>
  <c r="E46" i="4" s="1"/>
  <c r="G151" i="14"/>
  <c r="G153" i="14" s="1"/>
  <c r="F129" i="14"/>
  <c r="F128" i="14"/>
  <c r="F113" i="14"/>
  <c r="F115" i="14"/>
  <c r="F112" i="14"/>
  <c r="F104" i="14"/>
  <c r="F68" i="14"/>
  <c r="F66" i="14"/>
  <c r="G162" i="14"/>
  <c r="G164" i="14" s="1"/>
  <c r="H45" i="8" s="1"/>
  <c r="F141" i="14"/>
  <c r="G141" i="14"/>
  <c r="G133" i="14"/>
  <c r="G131" i="14"/>
  <c r="G129" i="14"/>
  <c r="G128" i="14"/>
  <c r="G121" i="14"/>
  <c r="G140" i="14" s="1"/>
  <c r="G155" i="14" s="1"/>
  <c r="G114" i="14"/>
  <c r="G113" i="14"/>
  <c r="G105" i="14"/>
  <c r="G107" i="14" s="1"/>
  <c r="H30" i="8" s="1"/>
  <c r="G96" i="14"/>
  <c r="H26" i="8" s="1"/>
  <c r="G87" i="14"/>
  <c r="G97" i="14"/>
  <c r="H27" i="8" s="1"/>
  <c r="G67" i="14"/>
  <c r="G70" i="14" s="1"/>
  <c r="G136" i="14"/>
  <c r="G54" i="14"/>
  <c r="G56" i="14" s="1"/>
  <c r="G37" i="14"/>
  <c r="G39" i="14" s="1"/>
  <c r="BA41" i="15"/>
  <c r="BA44" i="15" s="1"/>
  <c r="BA8" i="15"/>
  <c r="BA10" i="15" s="1"/>
  <c r="BA14" i="15" s="1"/>
  <c r="Q17" i="4"/>
  <c r="R16" i="4"/>
  <c r="F17" i="4"/>
  <c r="E11" i="9" s="1"/>
  <c r="G17" i="4"/>
  <c r="H17" i="4"/>
  <c r="G11" i="9" s="1"/>
  <c r="I17" i="4"/>
  <c r="H11" i="9" s="1"/>
  <c r="J17" i="4"/>
  <c r="I11" i="9" s="1"/>
  <c r="K17" i="4"/>
  <c r="J11" i="9" s="1"/>
  <c r="L17" i="4"/>
  <c r="M17" i="4"/>
  <c r="L11" i="9" s="1"/>
  <c r="N17" i="4"/>
  <c r="M11" i="9" s="1"/>
  <c r="O17" i="4"/>
  <c r="N11" i="9" s="1"/>
  <c r="P17" i="4"/>
  <c r="E17" i="4"/>
  <c r="D11" i="9" s="1"/>
  <c r="BA56" i="15"/>
  <c r="BA39" i="15"/>
  <c r="BA19" i="15"/>
  <c r="M47" i="1"/>
  <c r="M24" i="9" s="1"/>
  <c r="F31" i="1"/>
  <c r="O26" i="9"/>
  <c r="I26" i="9"/>
  <c r="Q10" i="1"/>
  <c r="E13" i="7" s="1"/>
  <c r="Q30" i="1"/>
  <c r="L31" i="1"/>
  <c r="O31" i="1"/>
  <c r="I31" i="1"/>
  <c r="I47" i="1" s="1"/>
  <c r="I24" i="9" s="1"/>
  <c r="O25" i="1"/>
  <c r="I25" i="1"/>
  <c r="I41" i="11"/>
  <c r="E43" i="11"/>
  <c r="O15" i="1"/>
  <c r="H19" i="20"/>
  <c r="H36" i="20"/>
  <c r="H28" i="20"/>
  <c r="H44" i="20"/>
  <c r="AZ41" i="15"/>
  <c r="AZ44" i="15" s="1"/>
  <c r="AZ18" i="15"/>
  <c r="AZ19" i="15" s="1"/>
  <c r="AZ9" i="15"/>
  <c r="AZ10" i="15" s="1"/>
  <c r="AZ14" i="15" s="1"/>
  <c r="F65" i="14"/>
  <c r="J44" i="5"/>
  <c r="J26" i="5"/>
  <c r="F103" i="14" s="1"/>
  <c r="F114" i="14"/>
  <c r="F3" i="1"/>
  <c r="F3" i="13" s="1"/>
  <c r="F3" i="4" s="1"/>
  <c r="G3" i="6" s="1"/>
  <c r="E3" i="9" s="1"/>
  <c r="C2" i="18" s="1"/>
  <c r="F6" i="19" s="1"/>
  <c r="E3" i="12"/>
  <c r="A3" i="12"/>
  <c r="AX32" i="15"/>
  <c r="AX36" i="15"/>
  <c r="AX35" i="15"/>
  <c r="AX18" i="15"/>
  <c r="AX19" i="15" s="1"/>
  <c r="AX54" i="15"/>
  <c r="AX50" i="15"/>
  <c r="AX42" i="15"/>
  <c r="AX44" i="15" s="1"/>
  <c r="AX33" i="15"/>
  <c r="AX27" i="15"/>
  <c r="AX23" i="15"/>
  <c r="AX24" i="15" s="1"/>
  <c r="AX9" i="15"/>
  <c r="AX10" i="15" s="1"/>
  <c r="AX14" i="15" s="1"/>
  <c r="I40" i="12"/>
  <c r="I41" i="12"/>
  <c r="I39" i="12"/>
  <c r="D41" i="18"/>
  <c r="F26" i="4"/>
  <c r="H26" i="4"/>
  <c r="H38" i="4" s="1"/>
  <c r="I26" i="4"/>
  <c r="H12" i="9" s="1"/>
  <c r="K26" i="4"/>
  <c r="J12" i="9" s="1"/>
  <c r="L26" i="4"/>
  <c r="M26" i="4"/>
  <c r="M38" i="4" s="1"/>
  <c r="N26" i="4"/>
  <c r="M12" i="9" s="1"/>
  <c r="O26" i="4"/>
  <c r="O38" i="4" s="1"/>
  <c r="P26" i="4"/>
  <c r="O12" i="9" s="1"/>
  <c r="Q26" i="4"/>
  <c r="Q38" i="4" s="1"/>
  <c r="E26" i="4"/>
  <c r="D12" i="9" s="1"/>
  <c r="E46" i="3"/>
  <c r="F29" i="14"/>
  <c r="F151" i="14" s="1"/>
  <c r="F153" i="14" s="1"/>
  <c r="F28" i="14"/>
  <c r="G90" i="14"/>
  <c r="H20" i="8" s="1"/>
  <c r="G91" i="14"/>
  <c r="H21" i="8"/>
  <c r="G92" i="14"/>
  <c r="H22" i="8" s="1"/>
  <c r="G93" i="14"/>
  <c r="H23" i="8" s="1"/>
  <c r="G94" i="14"/>
  <c r="H24" i="8" s="1"/>
  <c r="G44" i="14"/>
  <c r="G111" i="14"/>
  <c r="G21" i="14"/>
  <c r="H10" i="8" s="1"/>
  <c r="G22" i="14"/>
  <c r="H11" i="8" s="1"/>
  <c r="G11" i="14"/>
  <c r="G19" i="14" s="1"/>
  <c r="H8" i="8" s="1"/>
  <c r="D35" i="18"/>
  <c r="D27" i="18"/>
  <c r="AT35" i="15"/>
  <c r="AW35" i="15" s="1"/>
  <c r="AS33" i="15"/>
  <c r="AT33" i="15" s="1"/>
  <c r="AW33" i="15" s="1"/>
  <c r="AV51" i="15"/>
  <c r="AV56" i="15" s="1"/>
  <c r="AV18" i="15"/>
  <c r="AV16" i="15"/>
  <c r="AV44" i="15"/>
  <c r="AV39" i="15"/>
  <c r="AV24" i="15"/>
  <c r="AV29" i="15" s="1"/>
  <c r="AV14" i="15"/>
  <c r="AV10" i="15"/>
  <c r="E26" i="9"/>
  <c r="F26" i="9"/>
  <c r="G26" i="9"/>
  <c r="H26" i="9"/>
  <c r="J26" i="9"/>
  <c r="K26" i="9"/>
  <c r="L26" i="9"/>
  <c r="M26" i="9"/>
  <c r="N26" i="9"/>
  <c r="D26" i="9"/>
  <c r="E22" i="6"/>
  <c r="F22" i="6"/>
  <c r="G22" i="6"/>
  <c r="H22" i="6"/>
  <c r="I22" i="6"/>
  <c r="J22" i="6"/>
  <c r="K22" i="6"/>
  <c r="L22" i="6"/>
  <c r="M22" i="6"/>
  <c r="N22" i="6"/>
  <c r="O22" i="6"/>
  <c r="P22" i="6"/>
  <c r="D22" i="6"/>
  <c r="Q21" i="6"/>
  <c r="J26" i="4"/>
  <c r="J38" i="4" s="1"/>
  <c r="G26" i="4"/>
  <c r="Q20" i="6"/>
  <c r="F25" i="20" s="1"/>
  <c r="Q11" i="6"/>
  <c r="F22" i="20" s="1"/>
  <c r="G53" i="11"/>
  <c r="AU51" i="15"/>
  <c r="AU56" i="15" s="1"/>
  <c r="AU32" i="15"/>
  <c r="AU39" i="15" s="1"/>
  <c r="AU28" i="15"/>
  <c r="AU18" i="15"/>
  <c r="AU19" i="15" s="1"/>
  <c r="AU9" i="15"/>
  <c r="AS23" i="15"/>
  <c r="AS22" i="15"/>
  <c r="AS18" i="15"/>
  <c r="AS19" i="15" s="1"/>
  <c r="AS8" i="15"/>
  <c r="AS10" i="15" s="1"/>
  <c r="AS14" i="15" s="1"/>
  <c r="AS56" i="15"/>
  <c r="AS44" i="15"/>
  <c r="O14" i="9"/>
  <c r="N14" i="9"/>
  <c r="M14" i="9"/>
  <c r="L14" i="9"/>
  <c r="K14" i="9"/>
  <c r="J14" i="9"/>
  <c r="I14" i="9"/>
  <c r="H14" i="9"/>
  <c r="G14" i="9"/>
  <c r="F14" i="9"/>
  <c r="S52" i="13"/>
  <c r="Q25" i="6"/>
  <c r="F15" i="19" s="1"/>
  <c r="H15" i="19" s="1"/>
  <c r="R54" i="4"/>
  <c r="Q44" i="4"/>
  <c r="Q46" i="4" s="1"/>
  <c r="Q49" i="4" s="1"/>
  <c r="F80" i="14"/>
  <c r="H12" i="3"/>
  <c r="H14" i="3" s="1"/>
  <c r="H19" i="3" s="1"/>
  <c r="R29" i="4"/>
  <c r="BJ42" i="15" s="1"/>
  <c r="R30" i="4"/>
  <c r="R28" i="4"/>
  <c r="Q9" i="4"/>
  <c r="Q13" i="4"/>
  <c r="F31" i="4"/>
  <c r="G31" i="4"/>
  <c r="H31" i="4"/>
  <c r="I31" i="4"/>
  <c r="J31" i="4"/>
  <c r="K31" i="4"/>
  <c r="L31" i="4"/>
  <c r="M31" i="4"/>
  <c r="N31" i="4"/>
  <c r="O31" i="4"/>
  <c r="P31" i="4"/>
  <c r="Q31" i="4"/>
  <c r="E31" i="4"/>
  <c r="K11" i="9"/>
  <c r="O11" i="9"/>
  <c r="F9" i="4"/>
  <c r="F13" i="4" s="1"/>
  <c r="G9" i="4"/>
  <c r="G13" i="4" s="1"/>
  <c r="F10" i="9" s="1"/>
  <c r="H9" i="4"/>
  <c r="I9" i="4"/>
  <c r="I13" i="4" s="1"/>
  <c r="J9" i="4"/>
  <c r="K9" i="4"/>
  <c r="K13" i="4" s="1"/>
  <c r="L9" i="4"/>
  <c r="L13" i="4" s="1"/>
  <c r="L37" i="4" s="1"/>
  <c r="M9" i="4"/>
  <c r="M13" i="4" s="1"/>
  <c r="M37" i="4" s="1"/>
  <c r="N9" i="4"/>
  <c r="O9" i="4"/>
  <c r="O13" i="4" s="1"/>
  <c r="O37" i="4" s="1"/>
  <c r="E9" i="4"/>
  <c r="E13" i="4" s="1"/>
  <c r="R8" i="4"/>
  <c r="R15" i="4"/>
  <c r="R19" i="4"/>
  <c r="E44" i="3" s="1"/>
  <c r="R22" i="4"/>
  <c r="E45" i="3" s="1"/>
  <c r="AQ51" i="15"/>
  <c r="AQ56" i="15" s="1"/>
  <c r="AQ41" i="15"/>
  <c r="AQ44" i="15" s="1"/>
  <c r="AQ32" i="15"/>
  <c r="AQ39" i="15" s="1"/>
  <c r="AQ28" i="15"/>
  <c r="AQ9" i="15"/>
  <c r="AQ10" i="15" s="1"/>
  <c r="AQ14" i="15" s="1"/>
  <c r="AN54" i="15"/>
  <c r="AN51" i="15"/>
  <c r="AN38" i="15"/>
  <c r="AN36" i="15"/>
  <c r="AN28" i="15"/>
  <c r="AN26" i="15"/>
  <c r="AN22" i="15"/>
  <c r="AN24" i="15" s="1"/>
  <c r="AN18" i="15"/>
  <c r="AN19" i="15" s="1"/>
  <c r="AN9" i="15"/>
  <c r="AK43" i="15"/>
  <c r="AJ51" i="15"/>
  <c r="AJ56" i="15" s="1"/>
  <c r="AN44" i="15"/>
  <c r="AJ44" i="15"/>
  <c r="AH44" i="15"/>
  <c r="AJ38" i="15"/>
  <c r="AL38" i="15" s="1"/>
  <c r="AO38" i="15" s="1"/>
  <c r="AR38" i="15" s="1"/>
  <c r="AT38" i="15" s="1"/>
  <c r="AW38" i="15" s="1"/>
  <c r="AY38" i="15" s="1"/>
  <c r="BB38" i="15" s="1"/>
  <c r="BD38" i="15" s="1"/>
  <c r="BG38" i="15" s="1"/>
  <c r="AJ28" i="15"/>
  <c r="AL28" i="15" s="1"/>
  <c r="AJ18" i="15"/>
  <c r="AJ19" i="15" s="1"/>
  <c r="AJ9" i="15"/>
  <c r="AJ10" i="15" s="1"/>
  <c r="AJ14" i="15" s="1"/>
  <c r="F54" i="14"/>
  <c r="J37" i="5"/>
  <c r="J21" i="5"/>
  <c r="F101" i="14" s="1"/>
  <c r="J12" i="5"/>
  <c r="J16" i="5" s="1"/>
  <c r="AQ19" i="15"/>
  <c r="AN32" i="15"/>
  <c r="AL52" i="15"/>
  <c r="AO52" i="15" s="1"/>
  <c r="AR52" i="15" s="1"/>
  <c r="AT52" i="15" s="1"/>
  <c r="AW52" i="15" s="1"/>
  <c r="AY52" i="15" s="1"/>
  <c r="BB52" i="15" s="1"/>
  <c r="BD52" i="15" s="1"/>
  <c r="BG52" i="15" s="1"/>
  <c r="AL50" i="15"/>
  <c r="AO50" i="15" s="1"/>
  <c r="AR50" i="15" s="1"/>
  <c r="AT50" i="15" s="1"/>
  <c r="AW50" i="15" s="1"/>
  <c r="AL27" i="15"/>
  <c r="AO27" i="15" s="1"/>
  <c r="AR27" i="15" s="1"/>
  <c r="AT27" i="15" s="1"/>
  <c r="AW27" i="15" s="1"/>
  <c r="AL23" i="15"/>
  <c r="AL22" i="15"/>
  <c r="AL8" i="15"/>
  <c r="AO8" i="15" s="1"/>
  <c r="AK42" i="15"/>
  <c r="AL42" i="15" s="1"/>
  <c r="AO42" i="15" s="1"/>
  <c r="AR42" i="15" s="1"/>
  <c r="AT42" i="15" s="1"/>
  <c r="AW42" i="15" s="1"/>
  <c r="AK41" i="15"/>
  <c r="AL41" i="15" s="1"/>
  <c r="AO41" i="15" s="1"/>
  <c r="AK56" i="15"/>
  <c r="AK39" i="15"/>
  <c r="AK24" i="15"/>
  <c r="AK29" i="15" s="1"/>
  <c r="AJ24" i="15"/>
  <c r="AK19" i="15"/>
  <c r="AK10" i="15"/>
  <c r="AK14" i="15" s="1"/>
  <c r="AH54" i="15"/>
  <c r="AH56" i="15" s="1"/>
  <c r="AH24" i="15"/>
  <c r="AH36" i="15"/>
  <c r="AL36" i="15" s="1"/>
  <c r="AH32" i="15"/>
  <c r="AL32" i="15" s="1"/>
  <c r="AO32" i="15" s="1"/>
  <c r="AH34" i="15"/>
  <c r="AL34" i="15" s="1"/>
  <c r="AO34" i="15" s="1"/>
  <c r="AR34" i="15" s="1"/>
  <c r="AT34" i="15" s="1"/>
  <c r="AW34" i="15" s="1"/>
  <c r="AY34" i="15" s="1"/>
  <c r="BB34" i="15" s="1"/>
  <c r="AH26" i="15"/>
  <c r="AL26" i="15" s="1"/>
  <c r="AH18" i="15"/>
  <c r="AH17" i="15"/>
  <c r="AL17" i="15" s="1"/>
  <c r="AO17" i="15" s="1"/>
  <c r="AR17" i="15" s="1"/>
  <c r="AT17" i="15" s="1"/>
  <c r="AW17" i="15" s="1"/>
  <c r="AY17" i="15" s="1"/>
  <c r="BB17" i="15" s="1"/>
  <c r="BD17" i="15" s="1"/>
  <c r="AH16" i="15"/>
  <c r="AL16" i="15" s="1"/>
  <c r="AO16" i="15" s="1"/>
  <c r="AH13" i="15"/>
  <c r="AL13" i="15" s="1"/>
  <c r="AO13" i="15" s="1"/>
  <c r="AR13" i="15" s="1"/>
  <c r="AT13" i="15" s="1"/>
  <c r="AW13" i="15" s="1"/>
  <c r="AY13" i="15" s="1"/>
  <c r="BB13" i="15" s="1"/>
  <c r="AH12" i="15"/>
  <c r="AL12" i="15" s="1"/>
  <c r="AO12" i="15" s="1"/>
  <c r="AR12" i="15" s="1"/>
  <c r="AT12" i="15" s="1"/>
  <c r="AW12" i="15" s="1"/>
  <c r="AY12" i="15" s="1"/>
  <c r="BB12" i="15" s="1"/>
  <c r="AH9" i="15"/>
  <c r="AH10" i="15" s="1"/>
  <c r="J56" i="5"/>
  <c r="AZ39" i="15"/>
  <c r="G42" i="12"/>
  <c r="H42" i="12"/>
  <c r="F42" i="12"/>
  <c r="G11" i="13"/>
  <c r="G16" i="13" s="1"/>
  <c r="H11" i="13"/>
  <c r="H16" i="13" s="1"/>
  <c r="H55" i="13" s="1"/>
  <c r="I11" i="13"/>
  <c r="J11" i="13"/>
  <c r="J16" i="13" s="1"/>
  <c r="K11" i="13"/>
  <c r="K16" i="13" s="1"/>
  <c r="L11" i="13"/>
  <c r="M11" i="13"/>
  <c r="P11" i="13"/>
  <c r="S11" i="13"/>
  <c r="S16" i="13" s="1"/>
  <c r="Q14" i="6"/>
  <c r="F24" i="20" s="1"/>
  <c r="P13" i="6"/>
  <c r="P15" i="6" s="1"/>
  <c r="N13" i="6"/>
  <c r="N15" i="6" s="1"/>
  <c r="O13" i="6"/>
  <c r="O15" i="6" s="1"/>
  <c r="F54" i="11"/>
  <c r="E197" i="14" s="1"/>
  <c r="G48" i="11"/>
  <c r="E23" i="9"/>
  <c r="F23" i="9"/>
  <c r="G23" i="9"/>
  <c r="H23" i="9"/>
  <c r="J23" i="9"/>
  <c r="K23" i="9"/>
  <c r="L23" i="9"/>
  <c r="M23" i="9"/>
  <c r="N23" i="9"/>
  <c r="D23" i="9"/>
  <c r="E185" i="14"/>
  <c r="E181" i="14"/>
  <c r="Q8" i="6"/>
  <c r="F23" i="20" s="1"/>
  <c r="F5" i="8"/>
  <c r="E7" i="14" s="1"/>
  <c r="AG54" i="15"/>
  <c r="AG50" i="15"/>
  <c r="AG22" i="15"/>
  <c r="AG9" i="15"/>
  <c r="AG36" i="15"/>
  <c r="AG18" i="15"/>
  <c r="AG17" i="15"/>
  <c r="E54" i="11"/>
  <c r="Q9" i="1"/>
  <c r="D9" i="13" s="1"/>
  <c r="AE36" i="15"/>
  <c r="AE23" i="15"/>
  <c r="AE8" i="15"/>
  <c r="AE56" i="15"/>
  <c r="AF52" i="15"/>
  <c r="AF11" i="15"/>
  <c r="AF24" i="15"/>
  <c r="AF27" i="15"/>
  <c r="AF29" i="15"/>
  <c r="AF40" i="15"/>
  <c r="AE12" i="15"/>
  <c r="F60" i="14"/>
  <c r="F136" i="14" s="1"/>
  <c r="F83" i="14"/>
  <c r="F27" i="14"/>
  <c r="F14" i="14"/>
  <c r="F13" i="14"/>
  <c r="F21" i="14" s="1"/>
  <c r="G10" i="8" s="1"/>
  <c r="F10" i="14"/>
  <c r="F9" i="14"/>
  <c r="F22" i="14"/>
  <c r="G11" i="8" s="1"/>
  <c r="I16" i="13"/>
  <c r="L16" i="13"/>
  <c r="M16" i="13"/>
  <c r="O16" i="13"/>
  <c r="P16" i="13"/>
  <c r="Q16" i="13"/>
  <c r="AC56" i="15"/>
  <c r="AC9" i="15"/>
  <c r="AC47" i="15" s="1"/>
  <c r="Q15" i="1"/>
  <c r="E17" i="7" s="1"/>
  <c r="D15" i="13"/>
  <c r="F15" i="13" s="1"/>
  <c r="G49" i="11"/>
  <c r="G52" i="11"/>
  <c r="AA52" i="15"/>
  <c r="AA56" i="15" s="1"/>
  <c r="AA26" i="15"/>
  <c r="AA47" i="15" s="1"/>
  <c r="Y36" i="15"/>
  <c r="Y52" i="15"/>
  <c r="Y51" i="15"/>
  <c r="Y8" i="15"/>
  <c r="Y12" i="15"/>
  <c r="D38" i="19"/>
  <c r="D21" i="19"/>
  <c r="S47" i="13"/>
  <c r="S23" i="13"/>
  <c r="Z36" i="15"/>
  <c r="Z22" i="15"/>
  <c r="Z18" i="15"/>
  <c r="Z12" i="15"/>
  <c r="Z9" i="15"/>
  <c r="X12" i="15"/>
  <c r="X51" i="15"/>
  <c r="X56" i="15" s="1"/>
  <c r="X23" i="15"/>
  <c r="X17" i="15"/>
  <c r="X16" i="15"/>
  <c r="X9" i="15"/>
  <c r="M52" i="13"/>
  <c r="M47" i="13"/>
  <c r="Q44" i="1"/>
  <c r="E46" i="7" s="1"/>
  <c r="Q19" i="1"/>
  <c r="V52" i="15"/>
  <c r="V56" i="15" s="1"/>
  <c r="V36" i="15"/>
  <c r="V23" i="15"/>
  <c r="V22" i="15"/>
  <c r="V18" i="15"/>
  <c r="V12" i="15"/>
  <c r="S54" i="15"/>
  <c r="S52" i="15"/>
  <c r="S50" i="15"/>
  <c r="T36" i="15"/>
  <c r="W36" i="15" s="1"/>
  <c r="AB36" i="15" s="1"/>
  <c r="AD36" i="15" s="1"/>
  <c r="AF36" i="15" s="1"/>
  <c r="S26" i="15"/>
  <c r="S22" i="15"/>
  <c r="S17" i="15"/>
  <c r="S16" i="15"/>
  <c r="S9" i="15"/>
  <c r="T9" i="15" s="1"/>
  <c r="W9" i="15" s="1"/>
  <c r="U23" i="15"/>
  <c r="U47" i="15" s="1"/>
  <c r="U56" i="15"/>
  <c r="D11" i="1"/>
  <c r="D16" i="1" s="1"/>
  <c r="D21" i="9" s="1"/>
  <c r="G14" i="7"/>
  <c r="F84" i="14" s="1"/>
  <c r="F96" i="14" s="1"/>
  <c r="G26" i="8" s="1"/>
  <c r="E23" i="1"/>
  <c r="E22" i="9" s="1"/>
  <c r="F23" i="1"/>
  <c r="F22" i="9" s="1"/>
  <c r="G23" i="1"/>
  <c r="G22" i="9" s="1"/>
  <c r="H23" i="1"/>
  <c r="H22" i="9" s="1"/>
  <c r="J23" i="1"/>
  <c r="J22" i="9" s="1"/>
  <c r="K23" i="1"/>
  <c r="K22" i="9" s="1"/>
  <c r="L23" i="1"/>
  <c r="L22" i="9" s="1"/>
  <c r="M23" i="1"/>
  <c r="M22" i="9" s="1"/>
  <c r="N23" i="1"/>
  <c r="N22" i="9" s="1"/>
  <c r="P23" i="1"/>
  <c r="D23" i="1"/>
  <c r="D22" i="9" s="1"/>
  <c r="G25" i="7"/>
  <c r="R51" i="15"/>
  <c r="R56" i="15" s="1"/>
  <c r="R23" i="15"/>
  <c r="R22" i="15"/>
  <c r="R18" i="15"/>
  <c r="R12" i="15"/>
  <c r="P54" i="15"/>
  <c r="Q54" i="15" s="1"/>
  <c r="P51" i="15"/>
  <c r="P26" i="15"/>
  <c r="P18" i="15"/>
  <c r="P17" i="15"/>
  <c r="Q17" i="15"/>
  <c r="Q16" i="15"/>
  <c r="H8" i="3"/>
  <c r="F8" i="3"/>
  <c r="F8" i="15"/>
  <c r="J8" i="15" s="1"/>
  <c r="K8" i="15"/>
  <c r="N8" i="15"/>
  <c r="E12" i="15"/>
  <c r="F12" i="15"/>
  <c r="G12" i="15"/>
  <c r="G47" i="15" s="1"/>
  <c r="G58" i="15" s="1"/>
  <c r="H12" i="15"/>
  <c r="K12" i="15"/>
  <c r="M12" i="15"/>
  <c r="H18" i="15"/>
  <c r="J18" i="15" s="1"/>
  <c r="L18" i="15" s="1"/>
  <c r="M18" i="15"/>
  <c r="H22" i="15"/>
  <c r="J22" i="15"/>
  <c r="K22" i="15"/>
  <c r="M22" i="15"/>
  <c r="F23" i="15"/>
  <c r="H23" i="15"/>
  <c r="J23" i="15" s="1"/>
  <c r="L23" i="15" s="1"/>
  <c r="M23" i="15"/>
  <c r="N23" i="15"/>
  <c r="E26" i="15"/>
  <c r="F26" i="15"/>
  <c r="J26" i="15" s="1"/>
  <c r="L26" i="15" s="1"/>
  <c r="O26" i="15" s="1"/>
  <c r="E34" i="15"/>
  <c r="J34" i="15" s="1"/>
  <c r="L34" i="15" s="1"/>
  <c r="O34" i="15" s="1"/>
  <c r="Q34" i="15" s="1"/>
  <c r="T34" i="15" s="1"/>
  <c r="W34" i="15" s="1"/>
  <c r="AB34" i="15" s="1"/>
  <c r="AD34" i="15" s="1"/>
  <c r="AF34" i="15" s="1"/>
  <c r="M36" i="15"/>
  <c r="O36" i="15" s="1"/>
  <c r="I47" i="15"/>
  <c r="J50" i="15"/>
  <c r="L50" i="15" s="1"/>
  <c r="O50" i="15" s="1"/>
  <c r="I51" i="15"/>
  <c r="J51" i="15" s="1"/>
  <c r="L51" i="15" s="1"/>
  <c r="M51" i="15"/>
  <c r="M56" i="15" s="1"/>
  <c r="N51" i="15"/>
  <c r="N56" i="15" s="1"/>
  <c r="F52" i="15"/>
  <c r="F56" i="15" s="1"/>
  <c r="H52" i="15"/>
  <c r="H56" i="15" s="1"/>
  <c r="E56" i="15"/>
  <c r="G56" i="15"/>
  <c r="K56" i="15"/>
  <c r="G49" i="7"/>
  <c r="F85" i="14" s="1"/>
  <c r="G54" i="7"/>
  <c r="P11" i="1"/>
  <c r="P16" i="1"/>
  <c r="Q18" i="1"/>
  <c r="E20" i="7" s="1"/>
  <c r="Q33" i="1"/>
  <c r="E35" i="7" s="1"/>
  <c r="F29" i="19" s="1"/>
  <c r="H29" i="19" s="1"/>
  <c r="Q35" i="1"/>
  <c r="Q25" i="1"/>
  <c r="E27" i="7" s="1"/>
  <c r="Q27" i="1"/>
  <c r="E29" i="7" s="1"/>
  <c r="Q28" i="1"/>
  <c r="Q22" i="1"/>
  <c r="E24" i="7" s="1"/>
  <c r="Q29" i="1"/>
  <c r="E31" i="7" s="1"/>
  <c r="BJ18" i="15" s="1"/>
  <c r="Q34" i="1"/>
  <c r="E36" i="7" s="1"/>
  <c r="Q36" i="1"/>
  <c r="D36" i="13" s="1"/>
  <c r="Q38" i="1"/>
  <c r="Q39" i="1"/>
  <c r="Q40" i="1"/>
  <c r="Q41" i="1"/>
  <c r="Q43" i="1"/>
  <c r="H47" i="1"/>
  <c r="H24" i="9"/>
  <c r="J47" i="1"/>
  <c r="J24" i="9" s="1"/>
  <c r="Q46" i="1"/>
  <c r="E48" i="7" s="1"/>
  <c r="E47" i="1"/>
  <c r="E24" i="9"/>
  <c r="G47" i="1"/>
  <c r="G24" i="9" s="1"/>
  <c r="K47" i="1"/>
  <c r="K24" i="9"/>
  <c r="N47" i="1"/>
  <c r="N24" i="9" s="1"/>
  <c r="P47" i="1"/>
  <c r="Q49" i="1"/>
  <c r="D49" i="13" s="1"/>
  <c r="F49" i="13" s="1"/>
  <c r="F52" i="13" s="1"/>
  <c r="Q50" i="1"/>
  <c r="E52" i="7" s="1"/>
  <c r="Q51" i="1"/>
  <c r="D52" i="1"/>
  <c r="D25" i="9" s="1"/>
  <c r="E52" i="1"/>
  <c r="E25" i="9" s="1"/>
  <c r="F52" i="1"/>
  <c r="F25" i="9" s="1"/>
  <c r="G52" i="1"/>
  <c r="G25" i="9" s="1"/>
  <c r="H52" i="1"/>
  <c r="H25" i="9" s="1"/>
  <c r="I52" i="1"/>
  <c r="I25" i="9" s="1"/>
  <c r="J52" i="1"/>
  <c r="J25" i="9" s="1"/>
  <c r="K52" i="1"/>
  <c r="K25" i="9" s="1"/>
  <c r="L52" i="1"/>
  <c r="L25" i="9" s="1"/>
  <c r="M52" i="1"/>
  <c r="M25" i="9" s="1"/>
  <c r="N52" i="1"/>
  <c r="N25" i="9" s="1"/>
  <c r="O52" i="1"/>
  <c r="O25" i="9" s="1"/>
  <c r="P52" i="1"/>
  <c r="N23" i="13"/>
  <c r="P23" i="13"/>
  <c r="Q23" i="13"/>
  <c r="R23" i="13"/>
  <c r="G23" i="13"/>
  <c r="O23" i="13"/>
  <c r="F36" i="13"/>
  <c r="E36" i="13" s="1"/>
  <c r="D38" i="13"/>
  <c r="F38" i="13" s="1"/>
  <c r="E38" i="13"/>
  <c r="P47" i="13"/>
  <c r="Q47" i="13"/>
  <c r="L47" i="13"/>
  <c r="H47" i="13"/>
  <c r="G47" i="13"/>
  <c r="O47" i="13"/>
  <c r="N52" i="13"/>
  <c r="Q52" i="13"/>
  <c r="L52" i="13"/>
  <c r="H52" i="13"/>
  <c r="I52" i="13"/>
  <c r="J52" i="13"/>
  <c r="K52" i="13"/>
  <c r="R52" i="13"/>
  <c r="R42" i="4"/>
  <c r="R43" i="4"/>
  <c r="F44" i="4"/>
  <c r="F46" i="4" s="1"/>
  <c r="G44" i="4"/>
  <c r="H44" i="4"/>
  <c r="H46" i="4"/>
  <c r="G13" i="9" s="1"/>
  <c r="I44" i="4"/>
  <c r="I46" i="4" s="1"/>
  <c r="I49" i="4" s="1"/>
  <c r="J44" i="4"/>
  <c r="J46" i="4"/>
  <c r="I13" i="9" s="1"/>
  <c r="K44" i="4"/>
  <c r="K46" i="4" s="1"/>
  <c r="L44" i="4"/>
  <c r="L46" i="4" s="1"/>
  <c r="L49" i="4" s="1"/>
  <c r="M44" i="4"/>
  <c r="M46" i="4" s="1"/>
  <c r="N44" i="4"/>
  <c r="N46" i="4" s="1"/>
  <c r="N49" i="4" s="1"/>
  <c r="O44" i="4"/>
  <c r="O46" i="4" s="1"/>
  <c r="P44" i="4"/>
  <c r="P46" i="4"/>
  <c r="P49" i="4" s="1"/>
  <c r="R45" i="4"/>
  <c r="D14" i="9"/>
  <c r="E14" i="9"/>
  <c r="P18" i="9"/>
  <c r="P32" i="9"/>
  <c r="F36" i="19" s="1"/>
  <c r="K47" i="13"/>
  <c r="I47" i="13"/>
  <c r="J47" i="13"/>
  <c r="F47" i="1"/>
  <c r="F24" i="9" s="1"/>
  <c r="D47" i="1"/>
  <c r="D24" i="9" s="1"/>
  <c r="Q42" i="1"/>
  <c r="E44" i="7" s="1"/>
  <c r="Q32" i="1"/>
  <c r="E34" i="7" s="1"/>
  <c r="Q45" i="1"/>
  <c r="E47" i="7" s="1"/>
  <c r="F23" i="13"/>
  <c r="Q55" i="13"/>
  <c r="E47" i="4" s="1"/>
  <c r="R47" i="4" s="1"/>
  <c r="K13" i="9"/>
  <c r="D46" i="13"/>
  <c r="F46" i="13" s="1"/>
  <c r="E46" i="13" s="1"/>
  <c r="D43" i="13"/>
  <c r="F43" i="13" s="1"/>
  <c r="E43" i="13" s="1"/>
  <c r="G46" i="4"/>
  <c r="F13" i="9" s="1"/>
  <c r="H23" i="13"/>
  <c r="P52" i="13"/>
  <c r="D13" i="9"/>
  <c r="E11" i="1"/>
  <c r="E16" i="1" s="1"/>
  <c r="E21" i="9" s="1"/>
  <c r="D29" i="13"/>
  <c r="F29" i="13" s="1"/>
  <c r="E29" i="13" s="1"/>
  <c r="Q14" i="1"/>
  <c r="D14" i="13" s="1"/>
  <c r="F14" i="13" s="1"/>
  <c r="F11" i="1"/>
  <c r="F16" i="1" s="1"/>
  <c r="H49" i="4"/>
  <c r="R12" i="4"/>
  <c r="E16" i="7"/>
  <c r="Q13" i="1"/>
  <c r="E15" i="7" s="1"/>
  <c r="G11" i="1"/>
  <c r="G16" i="1" s="1"/>
  <c r="F42" i="14"/>
  <c r="F44" i="14" s="1"/>
  <c r="D13" i="13"/>
  <c r="F13" i="13" s="1"/>
  <c r="H11" i="1"/>
  <c r="H16" i="1" s="1"/>
  <c r="I11" i="1"/>
  <c r="I16" i="1" s="1"/>
  <c r="D13" i="6"/>
  <c r="D28" i="9" s="1"/>
  <c r="J11" i="1"/>
  <c r="J16" i="1" s="1"/>
  <c r="K11" i="1"/>
  <c r="K16" i="1" s="1"/>
  <c r="E13" i="6"/>
  <c r="E15" i="6" s="1"/>
  <c r="L11" i="1"/>
  <c r="L16" i="1" s="1"/>
  <c r="F13" i="6"/>
  <c r="F28" i="9" s="1"/>
  <c r="G13" i="6"/>
  <c r="G28" i="9" s="1"/>
  <c r="M11" i="1"/>
  <c r="M16" i="1" s="1"/>
  <c r="M21" i="9" s="1"/>
  <c r="N11" i="1"/>
  <c r="N16" i="1" s="1"/>
  <c r="N21" i="9" s="1"/>
  <c r="Q7" i="1"/>
  <c r="D7" i="13" s="1"/>
  <c r="H13" i="6"/>
  <c r="H15" i="6" s="1"/>
  <c r="I13" i="6"/>
  <c r="I15" i="6" s="1"/>
  <c r="J13" i="6"/>
  <c r="J28" i="9" s="1"/>
  <c r="K13" i="6"/>
  <c r="L13" i="6"/>
  <c r="L15" i="6" s="1"/>
  <c r="H16" i="2"/>
  <c r="H24" i="2" s="1"/>
  <c r="H28" i="2" s="1"/>
  <c r="M13" i="6"/>
  <c r="M28" i="9" s="1"/>
  <c r="AZ56" i="15"/>
  <c r="Q12" i="6"/>
  <c r="Z56" i="15"/>
  <c r="AZ24" i="15"/>
  <c r="AZ29" i="15" s="1"/>
  <c r="AU10" i="15"/>
  <c r="AU14" i="15" s="1"/>
  <c r="AQ24" i="15"/>
  <c r="AU24" i="15"/>
  <c r="J13" i="9" l="1"/>
  <c r="K49" i="4"/>
  <c r="BK18" i="15"/>
  <c r="S55" i="13"/>
  <c r="Q31" i="1"/>
  <c r="G49" i="4"/>
  <c r="O13" i="9"/>
  <c r="D27" i="13"/>
  <c r="F27" i="13" s="1"/>
  <c r="E27" i="13" s="1"/>
  <c r="H13" i="9"/>
  <c r="E188" i="14"/>
  <c r="E190" i="14" s="1"/>
  <c r="D20" i="18" s="1"/>
  <c r="AS39" i="15"/>
  <c r="E38" i="7"/>
  <c r="P55" i="13"/>
  <c r="E207" i="14"/>
  <c r="E38" i="14"/>
  <c r="I28" i="9"/>
  <c r="M13" i="9"/>
  <c r="N47" i="15"/>
  <c r="N58" i="15" s="1"/>
  <c r="AH14" i="15"/>
  <c r="AR32" i="15"/>
  <c r="L12" i="9"/>
  <c r="AX56" i="15"/>
  <c r="G12" i="9"/>
  <c r="O39" i="4"/>
  <c r="K38" i="4"/>
  <c r="N12" i="9"/>
  <c r="E38" i="4"/>
  <c r="R17" i="4"/>
  <c r="F16" i="3" s="1"/>
  <c r="E152" i="14" s="1"/>
  <c r="N38" i="4"/>
  <c r="E28" i="14"/>
  <c r="F26" i="14"/>
  <c r="F111" i="14" s="1"/>
  <c r="F118" i="14" s="1"/>
  <c r="J28" i="5"/>
  <c r="D22" i="13"/>
  <c r="M22" i="13" s="1"/>
  <c r="M23" i="13" s="1"/>
  <c r="M55" i="13" s="1"/>
  <c r="P55" i="1"/>
  <c r="F15" i="6"/>
  <c r="H36" i="19"/>
  <c r="BJ22" i="15"/>
  <c r="F22" i="2"/>
  <c r="E33" i="14" s="1"/>
  <c r="G15" i="6"/>
  <c r="J15" i="6"/>
  <c r="H28" i="9"/>
  <c r="D15" i="6"/>
  <c r="BI52" i="15"/>
  <c r="BK52" i="15" s="1"/>
  <c r="BD34" i="15"/>
  <c r="BG34" i="15" s="1"/>
  <c r="BG17" i="15"/>
  <c r="BI38" i="15"/>
  <c r="D25" i="13"/>
  <c r="F25" i="13" s="1"/>
  <c r="E25" i="13" s="1"/>
  <c r="F77" i="14"/>
  <c r="F90" i="14" s="1"/>
  <c r="G20" i="8" s="1"/>
  <c r="D42" i="19"/>
  <c r="F130" i="14"/>
  <c r="G130" i="14"/>
  <c r="G132" i="14" s="1"/>
  <c r="G135" i="14" s="1"/>
  <c r="F11" i="14"/>
  <c r="F19" i="14" s="1"/>
  <c r="G8" i="8" s="1"/>
  <c r="G157" i="14"/>
  <c r="H44" i="8" s="1"/>
  <c r="G123" i="14"/>
  <c r="H34" i="8" s="1"/>
  <c r="G48" i="14"/>
  <c r="H15" i="8" s="1"/>
  <c r="G118" i="14"/>
  <c r="G124" i="14" s="1"/>
  <c r="H35" i="8" s="1"/>
  <c r="F12" i="20"/>
  <c r="D18" i="13"/>
  <c r="I18" i="13" s="1"/>
  <c r="I23" i="13" s="1"/>
  <c r="I55" i="13" s="1"/>
  <c r="F28" i="19" s="1"/>
  <c r="H28" i="19" s="1"/>
  <c r="E10" i="7"/>
  <c r="BJ9" i="15"/>
  <c r="F11" i="20"/>
  <c r="F30" i="3"/>
  <c r="E54" i="6"/>
  <c r="M15" i="6"/>
  <c r="E28" i="9"/>
  <c r="E33" i="9" s="1"/>
  <c r="D62" i="6"/>
  <c r="E60" i="6"/>
  <c r="E46" i="6"/>
  <c r="E58" i="6"/>
  <c r="E38" i="6"/>
  <c r="M39" i="4"/>
  <c r="I38" i="4"/>
  <c r="I12" i="9"/>
  <c r="F31" i="20"/>
  <c r="E113" i="14"/>
  <c r="P14" i="9"/>
  <c r="F16" i="19" s="1"/>
  <c r="H16" i="19" s="1"/>
  <c r="P26" i="9"/>
  <c r="F33" i="19" s="1"/>
  <c r="H33" i="19" s="1"/>
  <c r="P29" i="9"/>
  <c r="P17" i="9"/>
  <c r="BJ32" i="15" s="1"/>
  <c r="Q22" i="6"/>
  <c r="O28" i="9"/>
  <c r="L28" i="9"/>
  <c r="D50" i="13"/>
  <c r="G50" i="13" s="1"/>
  <c r="G52" i="13" s="1"/>
  <c r="G55" i="13" s="1"/>
  <c r="F24" i="3" s="1"/>
  <c r="E10" i="14" s="1"/>
  <c r="P25" i="9"/>
  <c r="K55" i="1"/>
  <c r="D45" i="13"/>
  <c r="F45" i="13" s="1"/>
  <c r="E45" i="13" s="1"/>
  <c r="J55" i="1"/>
  <c r="F55" i="1"/>
  <c r="D33" i="13"/>
  <c r="F33" i="13" s="1"/>
  <c r="E33" i="13" s="1"/>
  <c r="D55" i="1"/>
  <c r="K21" i="9"/>
  <c r="J21" i="9"/>
  <c r="J33" i="9" s="1"/>
  <c r="I21" i="9"/>
  <c r="J13" i="4"/>
  <c r="L10" i="9"/>
  <c r="AU29" i="15"/>
  <c r="AL54" i="15"/>
  <c r="AO54" i="15" s="1"/>
  <c r="AR54" i="15" s="1"/>
  <c r="AT54" i="15" s="1"/>
  <c r="AW54" i="15" s="1"/>
  <c r="AY54" i="15" s="1"/>
  <c r="BB54" i="15" s="1"/>
  <c r="AQ29" i="15"/>
  <c r="AQ47" i="15" s="1"/>
  <c r="AQ59" i="15" s="1"/>
  <c r="AY42" i="15"/>
  <c r="BB42" i="15" s="1"/>
  <c r="BD42" i="15" s="1"/>
  <c r="BG42" i="15" s="1"/>
  <c r="Q26" i="15"/>
  <c r="T26" i="15" s="1"/>
  <c r="W26" i="15" s="1"/>
  <c r="AB26" i="15" s="1"/>
  <c r="AD26" i="15" s="1"/>
  <c r="AF26" i="15" s="1"/>
  <c r="AY27" i="15"/>
  <c r="BB27" i="15" s="1"/>
  <c r="BD27" i="15" s="1"/>
  <c r="AY35" i="15"/>
  <c r="BB35" i="15" s="1"/>
  <c r="BD35" i="15" s="1"/>
  <c r="BG35" i="15" s="1"/>
  <c r="AB9" i="15"/>
  <c r="AD9" i="15" s="1"/>
  <c r="AF9" i="15" s="1"/>
  <c r="Y47" i="15"/>
  <c r="AO36" i="15"/>
  <c r="AR36" i="15" s="1"/>
  <c r="AT36" i="15" s="1"/>
  <c r="AW36" i="15" s="1"/>
  <c r="AY36" i="15" s="1"/>
  <c r="BB36" i="15" s="1"/>
  <c r="BD36" i="15" s="1"/>
  <c r="BG36" i="15" s="1"/>
  <c r="AS24" i="15"/>
  <c r="AS29" i="15" s="1"/>
  <c r="AS47" i="15" s="1"/>
  <c r="AS59" i="15" s="1"/>
  <c r="U58" i="15"/>
  <c r="T16" i="15"/>
  <c r="W16" i="15" s="1"/>
  <c r="AB16" i="15" s="1"/>
  <c r="AD16" i="15" s="1"/>
  <c r="AF16" i="15" s="1"/>
  <c r="V47" i="15"/>
  <c r="V58" i="15" s="1"/>
  <c r="AL51" i="15"/>
  <c r="AO51" i="15" s="1"/>
  <c r="AY33" i="15"/>
  <c r="BB33" i="15" s="1"/>
  <c r="BD33" i="15" s="1"/>
  <c r="K47" i="15"/>
  <c r="K58" i="15" s="1"/>
  <c r="E47" i="15"/>
  <c r="E58" i="15" s="1"/>
  <c r="T54" i="15"/>
  <c r="W54" i="15" s="1"/>
  <c r="AB54" i="15" s="1"/>
  <c r="AD54" i="15" s="1"/>
  <c r="AF54" i="15" s="1"/>
  <c r="S56" i="15"/>
  <c r="AG56" i="15"/>
  <c r="AR41" i="15"/>
  <c r="AO22" i="15"/>
  <c r="AR22" i="15" s="1"/>
  <c r="AT22" i="15" s="1"/>
  <c r="AW22" i="15" s="1"/>
  <c r="AY22" i="15" s="1"/>
  <c r="BB22" i="15" s="1"/>
  <c r="BD22" i="15" s="1"/>
  <c r="BG22" i="15" s="1"/>
  <c r="BI22" i="15" s="1"/>
  <c r="AV19" i="15"/>
  <c r="AV47" i="15" s="1"/>
  <c r="AV59" i="15" s="1"/>
  <c r="AX29" i="15"/>
  <c r="AX39" i="15"/>
  <c r="AX47" i="15" s="1"/>
  <c r="AX59" i="15" s="1"/>
  <c r="L22" i="15"/>
  <c r="O22" i="15" s="1"/>
  <c r="Q22" i="15" s="1"/>
  <c r="T22" i="15" s="1"/>
  <c r="W22" i="15" s="1"/>
  <c r="AB22" i="15" s="1"/>
  <c r="AD22" i="15" s="1"/>
  <c r="AF22" i="15" s="1"/>
  <c r="H47" i="15"/>
  <c r="H58" i="15" s="1"/>
  <c r="AH19" i="15"/>
  <c r="AJ39" i="15"/>
  <c r="O23" i="15"/>
  <c r="Q23" i="15" s="1"/>
  <c r="T23" i="15" s="1"/>
  <c r="W23" i="15" s="1"/>
  <c r="AB23" i="15" s="1"/>
  <c r="AD23" i="15" s="1"/>
  <c r="AF23" i="15" s="1"/>
  <c r="S47" i="15"/>
  <c r="O51" i="15"/>
  <c r="Q51" i="15" s="1"/>
  <c r="T51" i="15" s="1"/>
  <c r="W51" i="15" s="1"/>
  <c r="AB51" i="15" s="1"/>
  <c r="AD51" i="15" s="1"/>
  <c r="AF51" i="15" s="1"/>
  <c r="O18" i="15"/>
  <c r="Q18" i="15" s="1"/>
  <c r="T18" i="15" s="1"/>
  <c r="W18" i="15" s="1"/>
  <c r="AB18" i="15" s="1"/>
  <c r="AD18" i="15" s="1"/>
  <c r="AF18" i="15" s="1"/>
  <c r="T17" i="15"/>
  <c r="W17" i="15" s="1"/>
  <c r="AB17" i="15" s="1"/>
  <c r="AD17" i="15" s="1"/>
  <c r="AF17" i="15" s="1"/>
  <c r="Z47" i="15"/>
  <c r="Z58" i="15" s="1"/>
  <c r="AJ29" i="15"/>
  <c r="I56" i="15"/>
  <c r="I58" i="15" s="1"/>
  <c r="P47" i="15"/>
  <c r="R47" i="15"/>
  <c r="R58" i="15" s="1"/>
  <c r="AA58" i="15"/>
  <c r="AG47" i="15"/>
  <c r="AG58" i="15" s="1"/>
  <c r="AO26" i="15"/>
  <c r="AR26" i="15" s="1"/>
  <c r="AT26" i="15" s="1"/>
  <c r="AW26" i="15" s="1"/>
  <c r="AY26" i="15" s="1"/>
  <c r="BB26" i="15" s="1"/>
  <c r="BD26" i="15" s="1"/>
  <c r="BG26" i="15" s="1"/>
  <c r="BI26" i="15" s="1"/>
  <c r="BK26" i="15" s="1"/>
  <c r="F24" i="5" s="1"/>
  <c r="J52" i="15"/>
  <c r="L52" i="15" s="1"/>
  <c r="O52" i="15" s="1"/>
  <c r="Q52" i="15" s="1"/>
  <c r="T52" i="15" s="1"/>
  <c r="W52" i="15" s="1"/>
  <c r="AB52" i="15" s="1"/>
  <c r="Y56" i="15"/>
  <c r="AE47" i="15"/>
  <c r="AE58" i="15" s="1"/>
  <c r="AH29" i="15"/>
  <c r="AL9" i="15"/>
  <c r="AO9" i="15" s="1"/>
  <c r="AN39" i="15"/>
  <c r="G18" i="7"/>
  <c r="G57" i="7" s="1"/>
  <c r="J31" i="5"/>
  <c r="J47" i="5" s="1"/>
  <c r="F105" i="14"/>
  <c r="F107" i="14" s="1"/>
  <c r="G30" i="8" s="1"/>
  <c r="H34" i="3"/>
  <c r="H49" i="3" s="1"/>
  <c r="H51" i="3" s="1"/>
  <c r="F94" i="14"/>
  <c r="G24" i="8" s="1"/>
  <c r="F121" i="14"/>
  <c r="F140" i="14" s="1"/>
  <c r="F155" i="14" s="1"/>
  <c r="F157" i="14" s="1"/>
  <c r="G44" i="8" s="1"/>
  <c r="F16" i="13"/>
  <c r="E16" i="13" s="1"/>
  <c r="H55" i="1"/>
  <c r="H21" i="9"/>
  <c r="D30" i="13"/>
  <c r="F30" i="13" s="1"/>
  <c r="E32" i="7"/>
  <c r="D8" i="13"/>
  <c r="Q11" i="1"/>
  <c r="E11" i="7"/>
  <c r="F49" i="4"/>
  <c r="E13" i="9"/>
  <c r="AT41" i="15"/>
  <c r="L21" i="9"/>
  <c r="G55" i="1"/>
  <c r="G21" i="9"/>
  <c r="G33" i="9" s="1"/>
  <c r="L13" i="9"/>
  <c r="M49" i="4"/>
  <c r="Q50" i="15"/>
  <c r="O49" i="4"/>
  <c r="N13" i="9"/>
  <c r="AT32" i="15"/>
  <c r="AZ47" i="15"/>
  <c r="AZ59" i="15" s="1"/>
  <c r="E51" i="7"/>
  <c r="Q52" i="1"/>
  <c r="E54" i="7" s="1"/>
  <c r="D35" i="13"/>
  <c r="F35" i="13" s="1"/>
  <c r="E35" i="13" s="1"/>
  <c r="E37" i="7"/>
  <c r="AR16" i="15"/>
  <c r="AN10" i="15"/>
  <c r="AN14" i="15" s="1"/>
  <c r="H10" i="9"/>
  <c r="H19" i="9" s="1"/>
  <c r="I37" i="4"/>
  <c r="I34" i="4"/>
  <c r="E10" i="9"/>
  <c r="F34" i="4"/>
  <c r="L38" i="4"/>
  <c r="L39" i="4" s="1"/>
  <c r="K12" i="9"/>
  <c r="F38" i="4"/>
  <c r="E12" i="9"/>
  <c r="R26" i="4"/>
  <c r="R38" i="4" s="1"/>
  <c r="F11" i="9"/>
  <c r="P11" i="9" s="1"/>
  <c r="G37" i="4"/>
  <c r="O30" i="9"/>
  <c r="R55" i="4"/>
  <c r="E39" i="7"/>
  <c r="D37" i="13"/>
  <c r="F37" i="13" s="1"/>
  <c r="F11" i="19"/>
  <c r="E55" i="1"/>
  <c r="J12" i="15"/>
  <c r="L12" i="15" s="1"/>
  <c r="O12" i="15" s="1"/>
  <c r="Q12" i="15" s="1"/>
  <c r="T12" i="15" s="1"/>
  <c r="W12" i="15" s="1"/>
  <c r="AB12" i="15" s="1"/>
  <c r="AD12" i="15" s="1"/>
  <c r="AF12" i="15" s="1"/>
  <c r="P15" i="9"/>
  <c r="D40" i="13"/>
  <c r="F40" i="13" s="1"/>
  <c r="E42" i="7"/>
  <c r="E30" i="7"/>
  <c r="D28" i="13"/>
  <c r="F28" i="13" s="1"/>
  <c r="E28" i="13" s="1"/>
  <c r="G54" i="11"/>
  <c r="E11" i="13"/>
  <c r="P9" i="4"/>
  <c r="P13" i="4" s="1"/>
  <c r="AL39" i="15"/>
  <c r="AH39" i="15"/>
  <c r="AN29" i="15"/>
  <c r="P38" i="4"/>
  <c r="K10" i="9"/>
  <c r="L34" i="4"/>
  <c r="AU43" i="15"/>
  <c r="R31" i="4"/>
  <c r="F17" i="3" s="1"/>
  <c r="H39" i="20"/>
  <c r="Q26" i="1"/>
  <c r="O47" i="1"/>
  <c r="O24" i="9" s="1"/>
  <c r="E33" i="7"/>
  <c r="D31" i="13"/>
  <c r="F31" i="13" s="1"/>
  <c r="E31" i="13" s="1"/>
  <c r="BA47" i="15"/>
  <c r="BA59" i="15" s="1"/>
  <c r="E49" i="4"/>
  <c r="N32" i="13"/>
  <c r="E32" i="13" s="1"/>
  <c r="N28" i="9"/>
  <c r="N33" i="9" s="1"/>
  <c r="K28" i="9"/>
  <c r="K15" i="6"/>
  <c r="O11" i="1"/>
  <c r="O16" i="1" s="1"/>
  <c r="E12" i="7"/>
  <c r="D10" i="13"/>
  <c r="D42" i="13"/>
  <c r="P56" i="15"/>
  <c r="P58" i="15" s="1"/>
  <c r="R44" i="4"/>
  <c r="D34" i="13"/>
  <c r="F34" i="13" s="1"/>
  <c r="E34" i="13" s="1"/>
  <c r="L47" i="1"/>
  <c r="L24" i="9" s="1"/>
  <c r="E41" i="7"/>
  <c r="D39" i="13"/>
  <c r="F39" i="13" s="1"/>
  <c r="M47" i="15"/>
  <c r="M58" i="15" s="1"/>
  <c r="F47" i="15"/>
  <c r="F58" i="15" s="1"/>
  <c r="L8" i="15"/>
  <c r="X47" i="15"/>
  <c r="X58" i="15" s="1"/>
  <c r="AC58" i="15"/>
  <c r="AO39" i="15"/>
  <c r="AR8" i="15"/>
  <c r="AL18" i="15"/>
  <c r="AO18" i="15" s="1"/>
  <c r="AR18" i="15" s="1"/>
  <c r="AT18" i="15" s="1"/>
  <c r="AW18" i="15" s="1"/>
  <c r="AY18" i="15" s="1"/>
  <c r="BB18" i="15" s="1"/>
  <c r="BD18" i="15" s="1"/>
  <c r="BG18" i="15" s="1"/>
  <c r="BI18" i="15" s="1"/>
  <c r="AY50" i="15"/>
  <c r="F37" i="4"/>
  <c r="F11" i="3"/>
  <c r="F12" i="3" s="1"/>
  <c r="F12" i="19"/>
  <c r="H12" i="19" s="1"/>
  <c r="J10" i="9"/>
  <c r="J19" i="9" s="1"/>
  <c r="K37" i="4"/>
  <c r="K39" i="4" s="1"/>
  <c r="Q34" i="4"/>
  <c r="Q37" i="4"/>
  <c r="Q39" i="4" s="1"/>
  <c r="Q13" i="6"/>
  <c r="BJ8" i="15" s="1"/>
  <c r="N55" i="1"/>
  <c r="M33" i="9"/>
  <c r="R9" i="4"/>
  <c r="M55" i="1"/>
  <c r="R11" i="4"/>
  <c r="F21" i="9"/>
  <c r="J49" i="4"/>
  <c r="R46" i="4"/>
  <c r="BE19" i="15"/>
  <c r="R53" i="4"/>
  <c r="F21" i="2" s="1"/>
  <c r="D33" i="9"/>
  <c r="D19" i="13"/>
  <c r="E21" i="7"/>
  <c r="AL24" i="15"/>
  <c r="AL29" i="15" s="1"/>
  <c r="AO23" i="15"/>
  <c r="AL43" i="15"/>
  <c r="AO43" i="15" s="1"/>
  <c r="AK44" i="15"/>
  <c r="AK47" i="15" s="1"/>
  <c r="AK59" i="15" s="1"/>
  <c r="AN56" i="15"/>
  <c r="K34" i="4"/>
  <c r="D10" i="9"/>
  <c r="E34" i="4"/>
  <c r="E37" i="4"/>
  <c r="N13" i="4"/>
  <c r="Q20" i="1"/>
  <c r="D44" i="13"/>
  <c r="F44" i="13" s="1"/>
  <c r="AO28" i="15"/>
  <c r="AR28" i="15" s="1"/>
  <c r="AT28" i="15" s="1"/>
  <c r="AW28" i="15" s="1"/>
  <c r="AY28" i="15" s="1"/>
  <c r="BB28" i="15" s="1"/>
  <c r="BD28" i="15" s="1"/>
  <c r="BG28" i="15" s="1"/>
  <c r="D51" i="13"/>
  <c r="O51" i="13" s="1"/>
  <c r="O52" i="13" s="1"/>
  <c r="E53" i="7"/>
  <c r="E43" i="7"/>
  <c r="D41" i="13"/>
  <c r="F41" i="13" s="1"/>
  <c r="E47" i="3"/>
  <c r="M34" i="4"/>
  <c r="N10" i="9"/>
  <c r="O34" i="4"/>
  <c r="G34" i="4"/>
  <c r="G38" i="4"/>
  <c r="F12" i="9"/>
  <c r="I42" i="12"/>
  <c r="G59" i="14"/>
  <c r="G62" i="14" s="1"/>
  <c r="G73" i="14" s="1"/>
  <c r="H16" i="8" s="1"/>
  <c r="F34" i="20"/>
  <c r="F34" i="19"/>
  <c r="H34" i="19" s="1"/>
  <c r="F95" i="14"/>
  <c r="G25" i="8" s="1"/>
  <c r="F67" i="14"/>
  <c r="F70" i="14" s="1"/>
  <c r="P30" i="9"/>
  <c r="E57" i="6"/>
  <c r="H13" i="4"/>
  <c r="E59" i="6"/>
  <c r="C62" i="6"/>
  <c r="E52" i="13" l="1"/>
  <c r="AL10" i="15"/>
  <c r="AL14" i="15" s="1"/>
  <c r="AJ47" i="15"/>
  <c r="AJ59" i="15" s="1"/>
  <c r="F42" i="13"/>
  <c r="E42" i="13" s="1"/>
  <c r="BJ41" i="15"/>
  <c r="BJ44" i="15" s="1"/>
  <c r="F91" i="14"/>
  <c r="G21" i="8" s="1"/>
  <c r="F93" i="14"/>
  <c r="G23" i="8" s="1"/>
  <c r="E39" i="4"/>
  <c r="E115" i="14"/>
  <c r="I39" i="4"/>
  <c r="G39" i="4"/>
  <c r="F164" i="14"/>
  <c r="G45" i="8" s="1"/>
  <c r="F37" i="14"/>
  <c r="F39" i="14" s="1"/>
  <c r="F48" i="14" s="1"/>
  <c r="G15" i="8" s="1"/>
  <c r="F17" i="20"/>
  <c r="F14" i="20"/>
  <c r="BK22" i="15"/>
  <c r="F20" i="5" s="1"/>
  <c r="F16" i="20"/>
  <c r="BJ37" i="15"/>
  <c r="N19" i="9"/>
  <c r="K19" i="9"/>
  <c r="BK38" i="15"/>
  <c r="F37" i="5" s="1"/>
  <c r="H33" i="9"/>
  <c r="BD54" i="15"/>
  <c r="BG54" i="15" s="1"/>
  <c r="AR39" i="15"/>
  <c r="BI42" i="15"/>
  <c r="BK42" i="15" s="1"/>
  <c r="F43" i="5"/>
  <c r="BI28" i="15"/>
  <c r="BG27" i="15"/>
  <c r="BI17" i="15"/>
  <c r="BI34" i="15"/>
  <c r="BK34" i="15" s="1"/>
  <c r="F55" i="14"/>
  <c r="BI36" i="15"/>
  <c r="BK36" i="15" s="1"/>
  <c r="BG33" i="15"/>
  <c r="BI35" i="15"/>
  <c r="F57" i="14"/>
  <c r="F133" i="14" s="1"/>
  <c r="F124" i="14"/>
  <c r="G35" i="8" s="1"/>
  <c r="F92" i="14"/>
  <c r="G22" i="8" s="1"/>
  <c r="F123" i="14"/>
  <c r="G34" i="8" s="1"/>
  <c r="Q15" i="6"/>
  <c r="F26" i="3"/>
  <c r="E13" i="14" s="1"/>
  <c r="E21" i="14" s="1"/>
  <c r="F10" i="8" s="1"/>
  <c r="O55" i="13"/>
  <c r="F45" i="3" s="1"/>
  <c r="G45" i="3" s="1"/>
  <c r="E27" i="14"/>
  <c r="E196" i="14"/>
  <c r="L19" i="9"/>
  <c r="F33" i="20"/>
  <c r="F20" i="19"/>
  <c r="H20" i="19" s="1"/>
  <c r="K33" i="9"/>
  <c r="P12" i="9"/>
  <c r="P13" i="9"/>
  <c r="F32" i="19"/>
  <c r="H32" i="19" s="1"/>
  <c r="BJ16" i="15"/>
  <c r="Y58" i="15"/>
  <c r="P24" i="9"/>
  <c r="E14" i="7"/>
  <c r="E18" i="7" s="1"/>
  <c r="R13" i="4"/>
  <c r="R37" i="4" s="1"/>
  <c r="R39" i="4" s="1"/>
  <c r="I10" i="9"/>
  <c r="I19" i="9" s="1"/>
  <c r="J37" i="4"/>
  <c r="J39" i="4" s="1"/>
  <c r="J34" i="4"/>
  <c r="J47" i="15"/>
  <c r="O56" i="15"/>
  <c r="S58" i="15"/>
  <c r="AR9" i="15"/>
  <c r="AT9" i="15" s="1"/>
  <c r="AW9" i="15" s="1"/>
  <c r="AY9" i="15" s="1"/>
  <c r="BB9" i="15" s="1"/>
  <c r="BD9" i="15" s="1"/>
  <c r="BG9" i="15" s="1"/>
  <c r="BI9" i="15" s="1"/>
  <c r="BK9" i="15" s="1"/>
  <c r="F12" i="5" s="1"/>
  <c r="AO10" i="15"/>
  <c r="AO14" i="15" s="1"/>
  <c r="J56" i="15"/>
  <c r="L56" i="15"/>
  <c r="AL56" i="15"/>
  <c r="AH47" i="15"/>
  <c r="AH59" i="15" s="1"/>
  <c r="AO19" i="15"/>
  <c r="P28" i="9"/>
  <c r="F25" i="19" s="1"/>
  <c r="E77" i="14"/>
  <c r="E201" i="14"/>
  <c r="BE39" i="15"/>
  <c r="F35" i="19"/>
  <c r="H35" i="19" s="1"/>
  <c r="N34" i="4"/>
  <c r="N37" i="4"/>
  <c r="N39" i="4" s="1"/>
  <c r="M10" i="9"/>
  <c r="M19" i="9" s="1"/>
  <c r="G144" i="14"/>
  <c r="H38" i="8" s="1"/>
  <c r="G145" i="14"/>
  <c r="H39" i="8" s="1"/>
  <c r="G137" i="14"/>
  <c r="G146" i="14" s="1"/>
  <c r="H40" i="8" s="1"/>
  <c r="O21" i="9"/>
  <c r="AW43" i="15"/>
  <c r="AY43" i="15" s="1"/>
  <c r="BB43" i="15" s="1"/>
  <c r="BD43" i="15" s="1"/>
  <c r="BG43" i="15" s="1"/>
  <c r="BI43" i="15" s="1"/>
  <c r="AU44" i="15"/>
  <c r="AU47" i="15" s="1"/>
  <c r="AU59" i="15" s="1"/>
  <c r="N37" i="13"/>
  <c r="T50" i="15"/>
  <c r="Q56" i="15"/>
  <c r="AR43" i="15"/>
  <c r="AR44" i="15" s="1"/>
  <c r="AO44" i="15"/>
  <c r="F33" i="9"/>
  <c r="AT8" i="15"/>
  <c r="E28" i="7"/>
  <c r="E49" i="7" s="1"/>
  <c r="E85" i="14" s="1"/>
  <c r="Q47" i="1"/>
  <c r="D26" i="13"/>
  <c r="AL44" i="15"/>
  <c r="O10" i="9"/>
  <c r="O19" i="9" s="1"/>
  <c r="P37" i="4"/>
  <c r="P39" i="4" s="1"/>
  <c r="P34" i="4"/>
  <c r="N40" i="13"/>
  <c r="E40" i="13" s="1"/>
  <c r="E19" i="9"/>
  <c r="BE10" i="15"/>
  <c r="BE14" i="15" s="1"/>
  <c r="AW32" i="15"/>
  <c r="AT39" i="15"/>
  <c r="L33" i="9"/>
  <c r="AW41" i="15"/>
  <c r="AT44" i="15"/>
  <c r="D11" i="13"/>
  <c r="D16" i="13" s="1"/>
  <c r="H37" i="4"/>
  <c r="H39" i="4" s="1"/>
  <c r="H34" i="4"/>
  <c r="G10" i="9"/>
  <c r="G19" i="9" s="1"/>
  <c r="N44" i="13"/>
  <c r="AR23" i="15"/>
  <c r="AO24" i="15"/>
  <c r="AO29" i="15" s="1"/>
  <c r="E114" i="14"/>
  <c r="F32" i="20"/>
  <c r="E42" i="14"/>
  <c r="E44" i="14" s="1"/>
  <c r="E206" i="14"/>
  <c r="E208" i="14" s="1"/>
  <c r="E211" i="14" s="1"/>
  <c r="F13" i="3"/>
  <c r="E80" i="14" s="1"/>
  <c r="F13" i="19"/>
  <c r="H13" i="19" s="1"/>
  <c r="F39" i="4"/>
  <c r="BB50" i="15"/>
  <c r="BD50" i="15" s="1"/>
  <c r="BG50" i="15" s="1"/>
  <c r="BI50" i="15" s="1"/>
  <c r="BK50" i="15" s="1"/>
  <c r="G52" i="5" s="1"/>
  <c r="N39" i="13"/>
  <c r="E39" i="13" s="1"/>
  <c r="R49" i="4"/>
  <c r="F18" i="2" s="1"/>
  <c r="F17" i="19"/>
  <c r="H17" i="19" s="1"/>
  <c r="BE44" i="15"/>
  <c r="H11" i="19"/>
  <c r="F19" i="9"/>
  <c r="AN47" i="15"/>
  <c r="AN59" i="15" s="1"/>
  <c r="AT16" i="15"/>
  <c r="AR19" i="15"/>
  <c r="L55" i="1"/>
  <c r="Q16" i="1"/>
  <c r="E62" i="6"/>
  <c r="E150" i="14"/>
  <c r="N41" i="13"/>
  <c r="AR51" i="15"/>
  <c r="AO56" i="15"/>
  <c r="D20" i="13"/>
  <c r="K20" i="13" s="1"/>
  <c r="K23" i="13" s="1"/>
  <c r="K55" i="13" s="1"/>
  <c r="E22" i="7"/>
  <c r="D19" i="9"/>
  <c r="J19" i="13"/>
  <c r="J23" i="13" s="1"/>
  <c r="L47" i="15"/>
  <c r="O8" i="15"/>
  <c r="F13" i="20"/>
  <c r="E200" i="14"/>
  <c r="E104" i="14"/>
  <c r="E29" i="14"/>
  <c r="E151" i="14" s="1"/>
  <c r="AL19" i="15"/>
  <c r="D52" i="13"/>
  <c r="N30" i="13"/>
  <c r="BK28" i="15" l="1"/>
  <c r="F26" i="5" s="1"/>
  <c r="BK17" i="15"/>
  <c r="J58" i="15"/>
  <c r="BK35" i="15"/>
  <c r="E57" i="14" s="1"/>
  <c r="E133" i="14" s="1"/>
  <c r="BK37" i="15"/>
  <c r="G39" i="5" s="1"/>
  <c r="E42" i="17" s="1"/>
  <c r="BJ53" i="15"/>
  <c r="BJ39" i="15"/>
  <c r="BI54" i="15"/>
  <c r="BK54" i="15" s="1"/>
  <c r="BI27" i="15"/>
  <c r="BI33" i="15"/>
  <c r="E55" i="14"/>
  <c r="E131" i="14" s="1"/>
  <c r="F36" i="5"/>
  <c r="F131" i="14"/>
  <c r="F132" i="14" s="1"/>
  <c r="F135" i="14" s="1"/>
  <c r="F56" i="14"/>
  <c r="F59" i="14" s="1"/>
  <c r="F62" i="14" s="1"/>
  <c r="F73" i="14" s="1"/>
  <c r="G16" i="8" s="1"/>
  <c r="F36" i="20"/>
  <c r="H25" i="19"/>
  <c r="BJ10" i="15"/>
  <c r="BJ14" i="15" s="1"/>
  <c r="BJ19" i="15"/>
  <c r="AL47" i="15"/>
  <c r="AL59" i="15" s="1"/>
  <c r="E44" i="13"/>
  <c r="E30" i="13"/>
  <c r="E84" i="14"/>
  <c r="E96" i="14" s="1"/>
  <c r="F26" i="8" s="1"/>
  <c r="R34" i="4"/>
  <c r="E90" i="14"/>
  <c r="F20" i="8" s="1"/>
  <c r="AR10" i="15"/>
  <c r="AR14" i="15" s="1"/>
  <c r="L58" i="15"/>
  <c r="AO47" i="15"/>
  <c r="AO59" i="15" s="1"/>
  <c r="J55" i="13"/>
  <c r="E112" i="14"/>
  <c r="F18" i="19"/>
  <c r="F26" i="20"/>
  <c r="F28" i="20" s="1"/>
  <c r="AT23" i="15"/>
  <c r="AR24" i="15"/>
  <c r="AR29" i="15" s="1"/>
  <c r="AR47" i="15" s="1"/>
  <c r="F44" i="5"/>
  <c r="E92" i="14"/>
  <c r="F22" i="8" s="1"/>
  <c r="E91" i="14"/>
  <c r="F21" i="8" s="1"/>
  <c r="R47" i="13"/>
  <c r="R55" i="13" s="1"/>
  <c r="F46" i="3" s="1"/>
  <c r="G46" i="3" s="1"/>
  <c r="Q8" i="15"/>
  <c r="O47" i="15"/>
  <c r="O58" i="15" s="1"/>
  <c r="P10" i="9"/>
  <c r="P19" i="9" s="1"/>
  <c r="F28" i="3"/>
  <c r="F26" i="19"/>
  <c r="H26" i="19" s="1"/>
  <c r="AW16" i="15"/>
  <c r="AT19" i="15"/>
  <c r="AY32" i="15"/>
  <c r="AW39" i="15"/>
  <c r="E37" i="13"/>
  <c r="F14" i="3"/>
  <c r="N47" i="13"/>
  <c r="N55" i="13" s="1"/>
  <c r="F44" i="3" s="1"/>
  <c r="E41" i="13"/>
  <c r="AY41" i="15"/>
  <c r="AW44" i="15"/>
  <c r="F26" i="13"/>
  <c r="D47" i="13"/>
  <c r="AW8" i="15"/>
  <c r="AT10" i="15"/>
  <c r="AT14" i="15" s="1"/>
  <c r="T56" i="15"/>
  <c r="W50" i="15"/>
  <c r="AT51" i="15"/>
  <c r="AR56" i="15"/>
  <c r="E153" i="14"/>
  <c r="P21" i="9"/>
  <c r="BK33" i="15" l="1"/>
  <c r="BK27" i="15"/>
  <c r="F25" i="5" s="1"/>
  <c r="BK53" i="15"/>
  <c r="G54" i="5" s="1"/>
  <c r="E66" i="14" s="1"/>
  <c r="F145" i="14"/>
  <c r="G39" i="8" s="1"/>
  <c r="F144" i="14"/>
  <c r="G38" i="8" s="1"/>
  <c r="F137" i="14"/>
  <c r="F146" i="14" s="1"/>
  <c r="G40" i="8" s="1"/>
  <c r="F19" i="3"/>
  <c r="O21" i="1"/>
  <c r="I21" i="1"/>
  <c r="E26" i="13"/>
  <c r="F47" i="13"/>
  <c r="AY44" i="15"/>
  <c r="BB41" i="15"/>
  <c r="BD41" i="15" s="1"/>
  <c r="E49" i="3"/>
  <c r="AY39" i="15"/>
  <c r="BB32" i="15"/>
  <c r="BD32" i="15" s="1"/>
  <c r="BE24" i="15"/>
  <c r="BE29" i="15" s="1"/>
  <c r="BE47" i="15" s="1"/>
  <c r="F27" i="19"/>
  <c r="F27" i="3"/>
  <c r="E14" i="14" s="1"/>
  <c r="E22" i="14" s="1"/>
  <c r="F11" i="8" s="1"/>
  <c r="AW51" i="15"/>
  <c r="AY51" i="15" s="1"/>
  <c r="AT56" i="15"/>
  <c r="AW56" i="15" s="1"/>
  <c r="AY16" i="15"/>
  <c r="AW19" i="15"/>
  <c r="H18" i="19"/>
  <c r="AY8" i="15"/>
  <c r="AW10" i="15"/>
  <c r="AW14" i="15" s="1"/>
  <c r="AR59" i="15"/>
  <c r="Q47" i="15"/>
  <c r="Q58" i="15" s="1"/>
  <c r="T8" i="15"/>
  <c r="AB50" i="15"/>
  <c r="W56" i="15"/>
  <c r="F47" i="3"/>
  <c r="G44" i="3"/>
  <c r="G47" i="3" s="1"/>
  <c r="AW23" i="15"/>
  <c r="AT24" i="15"/>
  <c r="AT29" i="15" s="1"/>
  <c r="AT47" i="15" s="1"/>
  <c r="G26" i="5" l="1"/>
  <c r="E103" i="14" s="1"/>
  <c r="E105" i="14" s="1"/>
  <c r="E174" i="14"/>
  <c r="E52" i="14"/>
  <c r="E128" i="14" s="1"/>
  <c r="BG32" i="15"/>
  <c r="BI32" i="15" s="1"/>
  <c r="BD39" i="15"/>
  <c r="BG41" i="15"/>
  <c r="BI41" i="15" s="1"/>
  <c r="BD44" i="15"/>
  <c r="I23" i="1"/>
  <c r="Q21" i="1"/>
  <c r="I23" i="9"/>
  <c r="O23" i="1"/>
  <c r="O23" i="9"/>
  <c r="F31" i="19"/>
  <c r="H31" i="19" s="1"/>
  <c r="E68" i="14"/>
  <c r="AB56" i="15"/>
  <c r="AD50" i="15"/>
  <c r="AT59" i="15"/>
  <c r="AW47" i="15"/>
  <c r="AW59" i="15" s="1"/>
  <c r="BB39" i="15"/>
  <c r="BB44" i="15"/>
  <c r="E161" i="14"/>
  <c r="H27" i="19"/>
  <c r="AY23" i="15"/>
  <c r="AW24" i="15"/>
  <c r="AW29" i="15" s="1"/>
  <c r="T47" i="15"/>
  <c r="T58" i="15" s="1"/>
  <c r="W8" i="15"/>
  <c r="AY10" i="15"/>
  <c r="AY14" i="15" s="1"/>
  <c r="BB8" i="15"/>
  <c r="BD8" i="15" s="1"/>
  <c r="BB16" i="15"/>
  <c r="BD16" i="15" s="1"/>
  <c r="AY19" i="15"/>
  <c r="BB51" i="15"/>
  <c r="BD51" i="15" s="1"/>
  <c r="AY56" i="15"/>
  <c r="E47" i="13"/>
  <c r="F55" i="13"/>
  <c r="F30" i="19" s="1"/>
  <c r="E51" i="3"/>
  <c r="F12" i="2" s="1"/>
  <c r="BG16" i="15" l="1"/>
  <c r="BI16" i="15" s="1"/>
  <c r="BD19" i="15"/>
  <c r="BK32" i="15"/>
  <c r="BI39" i="15"/>
  <c r="BK41" i="15"/>
  <c r="BI44" i="15"/>
  <c r="BG8" i="15"/>
  <c r="BI8" i="15" s="1"/>
  <c r="BD10" i="15"/>
  <c r="BD14" i="15" s="1"/>
  <c r="P23" i="9"/>
  <c r="F14" i="19" s="1"/>
  <c r="H14" i="19" s="1"/>
  <c r="H21" i="19" s="1"/>
  <c r="BG51" i="15"/>
  <c r="BI51" i="15" s="1"/>
  <c r="BI56" i="15" s="1"/>
  <c r="BD56" i="15"/>
  <c r="E23" i="7"/>
  <c r="E25" i="7" s="1"/>
  <c r="D21" i="13"/>
  <c r="Q23" i="1"/>
  <c r="Q55" i="1" s="1"/>
  <c r="E57" i="7" s="1"/>
  <c r="I22" i="9"/>
  <c r="I55" i="1"/>
  <c r="O22" i="9"/>
  <c r="O33" i="9" s="1"/>
  <c r="O55" i="1"/>
  <c r="BB10" i="15"/>
  <c r="BB14" i="15" s="1"/>
  <c r="BB56" i="15"/>
  <c r="E78" i="14"/>
  <c r="F23" i="3"/>
  <c r="AB8" i="15"/>
  <c r="W47" i="15"/>
  <c r="W58" i="15" s="1"/>
  <c r="BB23" i="15"/>
  <c r="BD23" i="15" s="1"/>
  <c r="AY24" i="15"/>
  <c r="AY29" i="15" s="1"/>
  <c r="AY47" i="15" s="1"/>
  <c r="AY59" i="15" s="1"/>
  <c r="BG39" i="15"/>
  <c r="AF50" i="15"/>
  <c r="AF56" i="15" s="1"/>
  <c r="AD56" i="15"/>
  <c r="BB19" i="15"/>
  <c r="BG19" i="15"/>
  <c r="BG44" i="15"/>
  <c r="BD24" i="15" l="1"/>
  <c r="BD29" i="15" s="1"/>
  <c r="BD47" i="15" s="1"/>
  <c r="BG23" i="15"/>
  <c r="BI23" i="15" s="1"/>
  <c r="BI10" i="15"/>
  <c r="BI14" i="15" s="1"/>
  <c r="BK8" i="15"/>
  <c r="BD59" i="15"/>
  <c r="F42" i="5"/>
  <c r="G44" i="5" s="1"/>
  <c r="BK44" i="15"/>
  <c r="F35" i="5"/>
  <c r="BK39" i="15"/>
  <c r="BK16" i="15"/>
  <c r="BK19" i="15" s="1"/>
  <c r="G14" i="5" s="1"/>
  <c r="BI19" i="15"/>
  <c r="F21" i="19"/>
  <c r="L21" i="13"/>
  <c r="L23" i="13" s="1"/>
  <c r="D23" i="13"/>
  <c r="D55" i="13" s="1"/>
  <c r="P22" i="9"/>
  <c r="P33" i="9" s="1"/>
  <c r="I33" i="9"/>
  <c r="BB24" i="15"/>
  <c r="BB29" i="15" s="1"/>
  <c r="BB47" i="15" s="1"/>
  <c r="BB59" i="15" s="1"/>
  <c r="H30" i="19"/>
  <c r="H38" i="19" s="1"/>
  <c r="F38" i="19"/>
  <c r="BG10" i="15"/>
  <c r="BG14" i="15" s="1"/>
  <c r="F25" i="3"/>
  <c r="E9" i="14"/>
  <c r="E11" i="14" s="1"/>
  <c r="E19" i="14" s="1"/>
  <c r="F8" i="8" s="1"/>
  <c r="AD8" i="15"/>
  <c r="AB47" i="15"/>
  <c r="AB58" i="15" s="1"/>
  <c r="E121" i="14"/>
  <c r="E140" i="14" s="1"/>
  <c r="E155" i="14" s="1"/>
  <c r="E157" i="14" s="1"/>
  <c r="F44" i="8" s="1"/>
  <c r="E87" i="14"/>
  <c r="E97" i="14" s="1"/>
  <c r="F27" i="8" s="1"/>
  <c r="E94" i="14"/>
  <c r="F24" i="8" s="1"/>
  <c r="E95" i="14"/>
  <c r="F25" i="8" s="1"/>
  <c r="E53" i="14" l="1"/>
  <c r="G37" i="5"/>
  <c r="BI47" i="15"/>
  <c r="BI59" i="15" s="1"/>
  <c r="F11" i="5"/>
  <c r="BK10" i="15"/>
  <c r="BK14" i="15" s="1"/>
  <c r="E175" i="14"/>
  <c r="E176" i="14" s="1"/>
  <c r="E220" i="14" s="1"/>
  <c r="D7" i="9"/>
  <c r="F43" i="20"/>
  <c r="BI24" i="15"/>
  <c r="BI29" i="15" s="1"/>
  <c r="BJ23" i="15"/>
  <c r="BK23" i="15" s="1"/>
  <c r="L55" i="13"/>
  <c r="E23" i="13"/>
  <c r="BG24" i="15"/>
  <c r="BG29" i="15" s="1"/>
  <c r="BG47" i="15" s="1"/>
  <c r="E20" i="18"/>
  <c r="AF8" i="15"/>
  <c r="AF47" i="15" s="1"/>
  <c r="AF58" i="15" s="1"/>
  <c r="AD47" i="15"/>
  <c r="AD58" i="15" s="1"/>
  <c r="E223" i="14"/>
  <c r="E226" i="14" s="1"/>
  <c r="G12" i="5"/>
  <c r="G16" i="5" s="1"/>
  <c r="P7" i="9" l="1"/>
  <c r="D36" i="9"/>
  <c r="E7" i="9" s="1"/>
  <c r="E36" i="9" s="1"/>
  <c r="F7" i="9" s="1"/>
  <c r="F36" i="9" s="1"/>
  <c r="G7" i="9" s="1"/>
  <c r="G36" i="9" s="1"/>
  <c r="H7" i="9" s="1"/>
  <c r="H36" i="9" s="1"/>
  <c r="I7" i="9" s="1"/>
  <c r="I36" i="9" s="1"/>
  <c r="J7" i="9" s="1"/>
  <c r="J36" i="9" s="1"/>
  <c r="K7" i="9" s="1"/>
  <c r="K36" i="9" s="1"/>
  <c r="L7" i="9" s="1"/>
  <c r="L36" i="9" s="1"/>
  <c r="M7" i="9" s="1"/>
  <c r="M36" i="9" s="1"/>
  <c r="N7" i="9" s="1"/>
  <c r="N36" i="9" s="1"/>
  <c r="O7" i="9" s="1"/>
  <c r="O36" i="9" s="1"/>
  <c r="E129" i="14"/>
  <c r="E130" i="14" s="1"/>
  <c r="E132" i="14" s="1"/>
  <c r="E135" i="14" s="1"/>
  <c r="E54" i="14"/>
  <c r="E56" i="14" s="1"/>
  <c r="E59" i="14" s="1"/>
  <c r="F29" i="3"/>
  <c r="E55" i="13"/>
  <c r="BJ24" i="15"/>
  <c r="BJ29" i="15" s="1"/>
  <c r="BJ47" i="15" s="1"/>
  <c r="E228" i="14"/>
  <c r="E35" i="18" s="1"/>
  <c r="E145" i="14" l="1"/>
  <c r="F39" i="8" s="1"/>
  <c r="E144" i="14"/>
  <c r="F38" i="8" s="1"/>
  <c r="F8" i="19"/>
  <c r="P36" i="9"/>
  <c r="F42" i="20"/>
  <c r="F44" i="20" s="1"/>
  <c r="F21" i="5"/>
  <c r="BK24" i="15"/>
  <c r="BK29" i="15" s="1"/>
  <c r="BK47" i="15" s="1"/>
  <c r="E83" i="14"/>
  <c r="E93" i="14" s="1"/>
  <c r="F23" i="8" s="1"/>
  <c r="F31" i="3"/>
  <c r="H8" i="19" l="1"/>
  <c r="H42" i="19" s="1"/>
  <c r="F42" i="19"/>
  <c r="G21" i="5"/>
  <c r="E60" i="14"/>
  <c r="F49" i="3"/>
  <c r="F34" i="3"/>
  <c r="BE56" i="15"/>
  <c r="BE59" i="15" s="1"/>
  <c r="G49" i="3" l="1"/>
  <c r="G51" i="3" s="1"/>
  <c r="F51" i="3"/>
  <c r="F14" i="2" s="1"/>
  <c r="F16" i="2" s="1"/>
  <c r="E62" i="14"/>
  <c r="E136" i="14"/>
  <c r="E137" i="14" s="1"/>
  <c r="E146" i="14" s="1"/>
  <c r="F40" i="8" s="1"/>
  <c r="G28" i="5"/>
  <c r="G31" i="5" s="1"/>
  <c r="G47" i="5" s="1"/>
  <c r="E101" i="14"/>
  <c r="E107" i="14" s="1"/>
  <c r="F30" i="8" s="1"/>
  <c r="BG56" i="15"/>
  <c r="BG59" i="15" s="1"/>
  <c r="G47" i="17" l="1"/>
  <c r="F24" i="2"/>
  <c r="E195" i="14"/>
  <c r="E199" i="14" s="1"/>
  <c r="E203" i="14" s="1"/>
  <c r="E213" i="14" s="1"/>
  <c r="E27" i="18" s="1"/>
  <c r="F10" i="20"/>
  <c r="F19" i="20" s="1"/>
  <c r="F39" i="20" s="1"/>
  <c r="E26" i="14"/>
  <c r="F28" i="2" l="1"/>
  <c r="BJ51" i="15" s="1"/>
  <c r="BK51" i="15" s="1"/>
  <c r="E162" i="14"/>
  <c r="E164" i="14" s="1"/>
  <c r="F45" i="8" s="1"/>
  <c r="E111" i="14"/>
  <c r="E37" i="14"/>
  <c r="E39" i="14" s="1"/>
  <c r="E48" i="14" s="1"/>
  <c r="F15" i="8" s="1"/>
  <c r="BJ56" i="15" l="1"/>
  <c r="BJ59" i="15" s="1"/>
  <c r="G53" i="5"/>
  <c r="BK56" i="15"/>
  <c r="BK59" i="15" s="1"/>
  <c r="E123" i="14"/>
  <c r="F34" i="8" s="1"/>
  <c r="E118" i="14"/>
  <c r="E124" i="14" s="1"/>
  <c r="F35" i="8" s="1"/>
  <c r="E65" i="14" l="1"/>
  <c r="E67" i="14" s="1"/>
  <c r="E70" i="14" s="1"/>
  <c r="E73" i="14" s="1"/>
  <c r="F16" i="8" s="1"/>
  <c r="G56" i="5"/>
  <c r="E236" i="14" l="1"/>
  <c r="E41" i="18" s="1"/>
</calcChain>
</file>

<file path=xl/comments1.xml><?xml version="1.0" encoding="utf-8"?>
<comments xmlns="http://schemas.openxmlformats.org/spreadsheetml/2006/main">
  <authors>
    <author>owner</author>
    <author>Patrick Long</author>
    <author>Patrick</author>
  </authors>
  <commentList>
    <comment ref="AE8" authorId="0" shape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budget exp to 03/13 - 7.964m.
Forecast exp to 03/13 - 7.1m</t>
        </r>
      </text>
    </comment>
    <comment ref="BJ8" authorId="1" shapeId="0">
      <text>
        <r>
          <rPr>
            <b/>
            <sz val="9"/>
            <color indexed="81"/>
            <rFont val="Tahoma"/>
            <family val="2"/>
          </rPr>
          <t>Patrick Long:</t>
        </r>
        <r>
          <rPr>
            <sz val="9"/>
            <color indexed="81"/>
            <rFont val="Tahoma"/>
            <family val="2"/>
          </rPr>
          <t xml:space="preserve">
costs of BOY rented +
Costs of BOY SE -
Sales Income - 
Grant Received in 18/19
</t>
        </r>
      </text>
    </comment>
    <comment ref="AE12" authorId="0" shape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additional grant income in 12/13 - 0.603m</t>
        </r>
      </text>
    </comment>
    <comment ref="Y18" authorId="2" shape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OFFICE DEP'N ADJ 20,000</t>
        </r>
      </text>
    </comment>
    <comment ref="Y36" authorId="2" shape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P7 MR - 820,000
NB3 EXP - 500,000
NB3 HAG - 500,000
NB3 FROM 10-11 687,000
CRS ADJ - 1,350,000
ADD INT -268,000</t>
        </r>
      </text>
    </comment>
    <comment ref="AE36" authorId="0" shapeId="0">
      <text>
        <r>
          <rPr>
            <b/>
            <sz val="8"/>
            <color indexed="81"/>
            <rFont val="Tahoma"/>
            <family val="2"/>
          </rPr>
          <t>owner:loan budget 12/13 -10.019m
forecast loans - 8.849m.</t>
        </r>
      </text>
    </comment>
    <comment ref="BJ41" authorId="1" shapeId="0">
      <text>
        <r>
          <rPr>
            <b/>
            <sz val="9"/>
            <color indexed="81"/>
            <rFont val="Tahoma"/>
            <family val="2"/>
          </rPr>
          <t>Patrick Long:</t>
        </r>
        <r>
          <rPr>
            <sz val="9"/>
            <color indexed="81"/>
            <rFont val="Tahoma"/>
            <family val="2"/>
          </rPr>
          <t xml:space="preserve">
SE Grant Receivde in 18/19 t/f to capital costs</t>
        </r>
      </text>
    </comment>
    <comment ref="AE51" authorId="0" shapeId="0">
      <text>
        <r>
          <rPr>
            <b/>
            <sz val="8"/>
            <color indexed="81"/>
            <rFont val="Tahoma"/>
            <family val="2"/>
          </rPr>
          <t>owner:</t>
        </r>
        <r>
          <rPr>
            <sz val="8"/>
            <color indexed="81"/>
            <rFont val="Tahoma"/>
            <family val="2"/>
          </rPr>
          <t xml:space="preserve">
phase 8 - budget 2.555m
forecast - 2.160m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OMNI HARDWARE REPLACEMENT DATARITE £25,000.
MISC OFFICE EQUIP/FF £5,000
SOFTWARE TEXT CONNECT £10,000.00
COMPLAINTS SOFTWARE £2,000</t>
        </r>
      </text>
    </comment>
  </commentList>
</comments>
</file>

<file path=xl/sharedStrings.xml><?xml version="1.0" encoding="utf-8"?>
<sst xmlns="http://schemas.openxmlformats.org/spreadsheetml/2006/main" count="988" uniqueCount="600">
  <si>
    <t>NIC</t>
  </si>
  <si>
    <t>APR</t>
  </si>
  <si>
    <t>OTHER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</si>
  <si>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</si>
  <si>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</si>
  <si>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</si>
  <si>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</si>
  <si>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</si>
  <si>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</si>
  <si>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</si>
  <si>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</si>
  <si>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</si>
  <si>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</si>
  <si>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</si>
  <si>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</si>
  <si>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RTB</t>
  </si>
  <si>
    <t>REACT</t>
  </si>
  <si>
    <t>CYC</t>
  </si>
  <si>
    <t>MR</t>
  </si>
  <si>
    <t>RES</t>
  </si>
  <si>
    <t>PART</t>
  </si>
  <si>
    <t>WIDER</t>
  </si>
  <si>
    <t>ACTION</t>
  </si>
  <si>
    <t>BAD</t>
  </si>
  <si>
    <t>DEBTS</t>
  </si>
  <si>
    <t xml:space="preserve">HILLHEAD HOUSING ASSOCIATION 2000 </t>
  </si>
  <si>
    <t xml:space="preserve">FOR THE YEAR TO </t>
  </si>
  <si>
    <t>HILLHEAD HOUSING ASSOCIATION 2000</t>
  </si>
  <si>
    <t>HILLHEAD  HOUSNG ASSOCIATION 2000</t>
  </si>
  <si>
    <t>REVENUE INCOME ANALYSIS</t>
  </si>
  <si>
    <t>FIXED ASSETS</t>
  </si>
  <si>
    <t>HOUSING PROPERTIES</t>
  </si>
  <si>
    <t>OTHER FIXED ASSETS</t>
  </si>
  <si>
    <t>CURRENT ASSETS</t>
  </si>
  <si>
    <t>DEBTORS</t>
  </si>
  <si>
    <t>CASH</t>
  </si>
  <si>
    <t>DEFERRED GRANT</t>
  </si>
  <si>
    <t>SHARE CAPITAL</t>
  </si>
  <si>
    <t>REVENUE RESERVES</t>
  </si>
  <si>
    <t>BUDGETED BALANCE SHEET</t>
  </si>
  <si>
    <t>£</t>
  </si>
  <si>
    <t>EXPENDITURE</t>
  </si>
  <si>
    <t>ADJ</t>
  </si>
  <si>
    <t>DESIGNATED RESERVES</t>
  </si>
  <si>
    <t>RATIO ANALYSIS</t>
  </si>
  <si>
    <t>W'FARE</t>
  </si>
  <si>
    <t>BUSINESS</t>
  </si>
  <si>
    <t>VARIANCE</t>
  </si>
  <si>
    <t>INCOME</t>
  </si>
  <si>
    <t>CAPITAL</t>
  </si>
  <si>
    <t>REVENUE</t>
  </si>
  <si>
    <t>TOTAL NET ASSETS</t>
  </si>
  <si>
    <t>Rental Income - Houses</t>
  </si>
  <si>
    <t>Voids</t>
  </si>
  <si>
    <t>Rental Income - Garages</t>
  </si>
  <si>
    <t>Housing Management</t>
  </si>
  <si>
    <t>Bad Debts</t>
  </si>
  <si>
    <t>Reactive Repairs</t>
  </si>
  <si>
    <t>Cyclical Maintenance</t>
  </si>
  <si>
    <t>Major Repairs</t>
  </si>
  <si>
    <t>Resident Participation</t>
  </si>
  <si>
    <t>Wider Action</t>
  </si>
  <si>
    <t>Welfare Rights</t>
  </si>
  <si>
    <t>Staff Costs</t>
  </si>
  <si>
    <t>FMD NOTE</t>
  </si>
  <si>
    <t>WR partly grant funded.</t>
  </si>
  <si>
    <t>Staff costs now include; handyman, additional maint officer, maternity cover, welfare rights although</t>
  </si>
  <si>
    <t>Also regradings per EVH, higher pension costs.</t>
  </si>
  <si>
    <t>Rental income is higher due to higher %age increases and delays in demolitions.</t>
  </si>
  <si>
    <t>Only 9 months in first year as opposed to 12 in BP.</t>
  </si>
  <si>
    <t>RTB income initially lower as a result of fewer sales but BP sales now closer to BGT sales.</t>
  </si>
  <si>
    <t>Interest variable but may change with balances and rates.</t>
  </si>
  <si>
    <t>NHP funding for both capital (eg new build) and revenue (eg cyclical, MR).</t>
  </si>
  <si>
    <t>Other revenue grants include; wider action, welfare rights.</t>
  </si>
  <si>
    <t>Reactive maint costs now very high. Connect increases &gt;6% every year per agreement.</t>
  </si>
  <si>
    <t>Also use of other contractors.</t>
  </si>
  <si>
    <t>Cyclical costs now much higher as Connect rates are higher and increase &gt;6%each year.</t>
  </si>
  <si>
    <t>Also wrong no. of units quoted for gas/ch servicing.</t>
  </si>
  <si>
    <t>Overheads now higher due to increased costs re Int Audit, bank charges, insurance.</t>
  </si>
  <si>
    <t xml:space="preserve">BUDGET </t>
  </si>
  <si>
    <t>BUDGET</t>
  </si>
  <si>
    <t>ACTUAL</t>
  </si>
  <si>
    <t>FINANCIAL CAPACITY</t>
  </si>
  <si>
    <t>Reactive Maint.</t>
  </si>
  <si>
    <t>Direct Costs</t>
  </si>
  <si>
    <t>Cyclical Maint.</t>
  </si>
  <si>
    <t>Landscaping</t>
  </si>
  <si>
    <t>RATIO ANALYSIS CALCULATIONS</t>
  </si>
  <si>
    <t>BGT</t>
  </si>
  <si>
    <t>INTEREST COVER</t>
  </si>
  <si>
    <t>RATIO</t>
  </si>
  <si>
    <t>DEP'N</t>
  </si>
  <si>
    <t>HILLHEAD HOUSIING ASSOCIATION 2000</t>
  </si>
  <si>
    <t>Landlords Electric Supply</t>
  </si>
  <si>
    <t>ADDS</t>
  </si>
  <si>
    <t>EFFICIENCY</t>
  </si>
  <si>
    <t>LIQUIDITY</t>
  </si>
  <si>
    <t>Management Costs</t>
  </si>
  <si>
    <t>Tenant Participation</t>
  </si>
  <si>
    <t>No of Units</t>
  </si>
  <si>
    <t>Management Cost Per Unit</t>
  </si>
  <si>
    <t>Reactive Maintenance Per Unit</t>
  </si>
  <si>
    <t>Planned Maintenance Costs Per Unit</t>
  </si>
  <si>
    <t>Housing Depreciation</t>
  </si>
  <si>
    <t>Interest Receivable</t>
  </si>
  <si>
    <t>Interest Payable</t>
  </si>
  <si>
    <t>Interest Cover</t>
  </si>
  <si>
    <t>Interest Cover Adjusted</t>
  </si>
  <si>
    <t>Total Debt</t>
  </si>
  <si>
    <t>Cash</t>
  </si>
  <si>
    <t>Net Debt</t>
  </si>
  <si>
    <t>Revenue Reserves</t>
  </si>
  <si>
    <t>Debt Per Unit</t>
  </si>
  <si>
    <t>Net Debt Per Unit</t>
  </si>
  <si>
    <t>Gearing</t>
  </si>
  <si>
    <t>Gross Rents Receivable</t>
  </si>
  <si>
    <t>Turnover</t>
  </si>
  <si>
    <t>Current Assets</t>
  </si>
  <si>
    <t>Current Liabilities</t>
  </si>
  <si>
    <t>PROFITABILITY</t>
  </si>
  <si>
    <t>Operating Surplus</t>
  </si>
  <si>
    <t>Interest Receipts</t>
  </si>
  <si>
    <t>Gross Surplus (%)</t>
  </si>
  <si>
    <t>Net Surplus (%)</t>
  </si>
  <si>
    <t>ADJ -1</t>
  </si>
  <si>
    <t>ADJ - 2</t>
  </si>
  <si>
    <t>Ratio</t>
  </si>
  <si>
    <t>COVENANTS</t>
  </si>
  <si>
    <t>LOANS</t>
  </si>
  <si>
    <t>Closing cash balances per business plan is different by the amount of loan drawn down.</t>
  </si>
  <si>
    <t>New contractors fro 0708. Connect no more.</t>
  </si>
  <si>
    <t>Major Repairs backlog caught up in 0809. Depends on programme instructed by HHA.</t>
  </si>
  <si>
    <t>Total Income From Lettings</t>
  </si>
  <si>
    <t>SERVICE</t>
  </si>
  <si>
    <t>CHARGES</t>
  </si>
  <si>
    <t>FACTOR</t>
  </si>
  <si>
    <t>Depreciation</t>
  </si>
  <si>
    <t>Surplus from Lettings</t>
  </si>
  <si>
    <t>BUDGETED INCOME &amp; EXPENDITURE FROM LETTINGS</t>
  </si>
  <si>
    <t>INC</t>
  </si>
  <si>
    <t>EXP</t>
  </si>
  <si>
    <t>SURPLUS</t>
  </si>
  <si>
    <t>LETTINGS</t>
  </si>
  <si>
    <t>EXPENDITURE - STAFF COSTS</t>
  </si>
  <si>
    <t>EXPENDITURE - ESTATE COSTS</t>
  </si>
  <si>
    <t>LETTINGS (continued)</t>
  </si>
  <si>
    <t>EXPENDITURE - OVERHEADS</t>
  </si>
  <si>
    <t>OTHER ACTIVITIES</t>
  </si>
  <si>
    <t>BALANCE SHEET ASSUMPTIONS</t>
  </si>
  <si>
    <t>OTHER ASSUMPTIONS - INCOME &amp; EXPENDITURE ACCOUNT</t>
  </si>
  <si>
    <t>RESTATE</t>
  </si>
  <si>
    <t>0809</t>
  </si>
  <si>
    <t>Electrical Testing</t>
  </si>
  <si>
    <t>Gas Audit</t>
  </si>
  <si>
    <t>INCOME &amp; EXP FROM LETTINGS</t>
  </si>
  <si>
    <t>TOTAL INCOME &amp; EXP</t>
  </si>
  <si>
    <t>BUDGETED INCOME &amp; EXPENDITURE FROM OTHER ACTIVITIES</t>
  </si>
  <si>
    <t>Planned Maint</t>
  </si>
  <si>
    <t>Reactive Maint</t>
  </si>
  <si>
    <t>GRANTS</t>
  </si>
  <si>
    <t>MAR 09</t>
  </si>
  <si>
    <t>H&amp;M</t>
  </si>
  <si>
    <t>ADMIN</t>
  </si>
  <si>
    <t>adj</t>
  </si>
  <si>
    <t>Void Clearances</t>
  </si>
  <si>
    <t>Gas Servicing</t>
  </si>
  <si>
    <t>Central Heating Systems</t>
  </si>
  <si>
    <t>Management &amp; Maintenance Admin</t>
  </si>
  <si>
    <t>other miscellaneous promotional events.</t>
  </si>
  <si>
    <t>Staff and committee training allow for the cost of courses and seminars throughout the year and</t>
  </si>
  <si>
    <t>the attendance at conferences.</t>
  </si>
  <si>
    <t>Interest costs will be incurred as a result of drawing down funds from the Royal Bank of Scotland.</t>
  </si>
  <si>
    <t>actual</t>
  </si>
  <si>
    <t>DEPRECIATION</t>
  </si>
  <si>
    <t>Arrears - Gross</t>
  </si>
  <si>
    <t>Arrears - Net</t>
  </si>
  <si>
    <t>COVENANT</t>
  </si>
  <si>
    <t>Equipment maintenance includes hardware &amp; software maintenance, web site development, and</t>
  </si>
  <si>
    <t>Void Security</t>
  </si>
  <si>
    <t>EDC</t>
  </si>
  <si>
    <t>CASHFLOW ANALYSIS WITH BUSINESS PLAN</t>
  </si>
  <si>
    <t>In addition, non utilisation fees will be incurred in respect of the amount of loans not drawn down.</t>
  </si>
  <si>
    <t>COMP ACC</t>
  </si>
  <si>
    <t>Stage 3 Adaptations</t>
  </si>
  <si>
    <t xml:space="preserve"> </t>
  </si>
  <si>
    <t>mar 13</t>
  </si>
  <si>
    <t>Net Rental Income</t>
  </si>
  <si>
    <t>Grant Income</t>
  </si>
  <si>
    <t>budget</t>
  </si>
  <si>
    <t>total</t>
  </si>
  <si>
    <t>FINAL</t>
  </si>
  <si>
    <t xml:space="preserve">Wider action projects will consist of: </t>
  </si>
  <si>
    <t>Asset Cover</t>
  </si>
  <si>
    <t>Loans Outstanding</t>
  </si>
  <si>
    <t>New Build - MV ST</t>
  </si>
  <si>
    <t>Discounted by</t>
  </si>
  <si>
    <t>Transferred Stock EUV</t>
  </si>
  <si>
    <t>Total Discounted Value</t>
  </si>
  <si>
    <t>Comply</t>
  </si>
  <si>
    <t>MAR 2014</t>
  </si>
  <si>
    <t>Staff</t>
  </si>
  <si>
    <t>Costs</t>
  </si>
  <si>
    <t>Other</t>
  </si>
  <si>
    <t>Income</t>
  </si>
  <si>
    <t>Tenancy Support Service</t>
  </si>
  <si>
    <t xml:space="preserve">HAG </t>
  </si>
  <si>
    <t>Grant Released From Deferred Income</t>
  </si>
  <si>
    <t>MAR 14</t>
  </si>
  <si>
    <t>LESS HAG</t>
  </si>
  <si>
    <t>LESS OTHER CAPITAL GRANTS</t>
  </si>
  <si>
    <t>CREDITORS &lt; 1 YEAR</t>
  </si>
  <si>
    <t>CREDITORS &gt; 1 YEAR</t>
  </si>
  <si>
    <t>STRATHCLYDE PENSION</t>
  </si>
  <si>
    <t xml:space="preserve">PENSION DEFICIT </t>
  </si>
  <si>
    <t>PENSION DEFICIT</t>
  </si>
  <si>
    <t>DEFERRED INCOME</t>
  </si>
  <si>
    <t>PYA</t>
  </si>
  <si>
    <t>MOVE-</t>
  </si>
  <si>
    <t>MENT</t>
  </si>
  <si>
    <t>MAR 2015</t>
  </si>
  <si>
    <t>MAR 2016</t>
  </si>
  <si>
    <t>HAG</t>
  </si>
  <si>
    <t>MISC</t>
  </si>
  <si>
    <t>Loans</t>
  </si>
  <si>
    <t>OTHER HOUSING GRANTS</t>
  </si>
  <si>
    <t>OTHER NON HOUSING GRANTS</t>
  </si>
  <si>
    <t>Other Non Housing Grants</t>
  </si>
  <si>
    <t>Other Housing Grants</t>
  </si>
  <si>
    <t>covenant</t>
  </si>
  <si>
    <t>BUDGETED STATEMENT OF FINANCIAL POSITION</t>
  </si>
  <si>
    <t xml:space="preserve">MOVE - </t>
  </si>
  <si>
    <t>MAR 2017</t>
  </si>
  <si>
    <t>PENSION RESERVE (SRC)</t>
  </si>
  <si>
    <t>CAPITAL WORKS - INCOME AND EXPENDITURE</t>
  </si>
  <si>
    <t>Void levels are estimated to be 1.00% of rental income.</t>
  </si>
  <si>
    <t>YES</t>
  </si>
  <si>
    <t xml:space="preserve">The updated business plan has been submitted to the Royal Bank of Scotland and has been </t>
  </si>
  <si>
    <t>2017/18</t>
  </si>
  <si>
    <t>MAR 2018</t>
  </si>
  <si>
    <t xml:space="preserve">Community Gardens </t>
  </si>
  <si>
    <t>the maintenance of various alarms and items of equipment eg phones, photocopier, franking</t>
  </si>
  <si>
    <t>machine etc.</t>
  </si>
  <si>
    <t>EIR ADJ</t>
  </si>
  <si>
    <t>Capitalised Major Repairs</t>
  </si>
  <si>
    <t>interest Received</t>
  </si>
  <si>
    <t>EIR adj</t>
  </si>
  <si>
    <t>Less Grants Amortised</t>
  </si>
  <si>
    <t>Less Pension Deficit Payments</t>
  </si>
  <si>
    <t>Ratio - post FRS 102</t>
  </si>
  <si>
    <t>Total Financial Indebtedness</t>
  </si>
  <si>
    <t>Historic Cost of Fixed Assets</t>
  </si>
  <si>
    <t>Less Uncompleted Developments</t>
  </si>
  <si>
    <t>Covenant - Minimum</t>
  </si>
  <si>
    <t>Covenant - Maximum</t>
  </si>
  <si>
    <t xml:space="preserve">approved by them. A revised loan agreement has also been agreed and this contains a new </t>
  </si>
  <si>
    <t>set of financial covenants.</t>
  </si>
  <si>
    <t>Budget</t>
  </si>
  <si>
    <t>Actual</t>
  </si>
  <si>
    <t>SHR Median</t>
  </si>
  <si>
    <t>Interest payable</t>
  </si>
  <si>
    <t>Less Operating Costs</t>
  </si>
  <si>
    <t>Operating Surplus/Deficit</t>
  </si>
  <si>
    <t>Gain on RTB Sales</t>
  </si>
  <si>
    <t>Other Finance Charges</t>
  </si>
  <si>
    <t>Fixed Assets</t>
  </si>
  <si>
    <t>Housing Properties - Cost</t>
  </si>
  <si>
    <t>less Depreciation</t>
  </si>
  <si>
    <t>Other Non Current Assets</t>
  </si>
  <si>
    <t>Total Non Current Assets</t>
  </si>
  <si>
    <t>Receivables</t>
  </si>
  <si>
    <t>Liabilities &lt; One Year</t>
  </si>
  <si>
    <t>Miscellaneous</t>
  </si>
  <si>
    <t>Pension Deficit</t>
  </si>
  <si>
    <t>Net Current Assets</t>
  </si>
  <si>
    <t>Total Assets Less Current Liabilities</t>
  </si>
  <si>
    <t>Liabilities &gt; One Year</t>
  </si>
  <si>
    <t>Repayable Grant</t>
  </si>
  <si>
    <t>Pension Liability</t>
  </si>
  <si>
    <t>Deferred Income</t>
  </si>
  <si>
    <t>Other Housing Assets</t>
  </si>
  <si>
    <t>Total Net Assets</t>
  </si>
  <si>
    <t>Share Capital</t>
  </si>
  <si>
    <t>Total Capital &amp; Reserves</t>
  </si>
  <si>
    <t>Gross Pay</t>
  </si>
  <si>
    <t>Pension</t>
  </si>
  <si>
    <t>Expenses</t>
  </si>
  <si>
    <t>Finance Services</t>
  </si>
  <si>
    <t>Maintenance Services</t>
  </si>
  <si>
    <t>Development Services</t>
  </si>
  <si>
    <t>Estate Costs</t>
  </si>
  <si>
    <t>Cyclical maintenance</t>
  </si>
  <si>
    <t>Depreciation - Housing</t>
  </si>
  <si>
    <t>Overheads</t>
  </si>
  <si>
    <t>Advertising</t>
  </si>
  <si>
    <t>Audit Fees</t>
  </si>
  <si>
    <t>Bank Charges</t>
  </si>
  <si>
    <t>Depreciation - Other</t>
  </si>
  <si>
    <t>General Expenses</t>
  </si>
  <si>
    <t>Van Costs</t>
  </si>
  <si>
    <t>Heating, Lighting, Cleaning</t>
  </si>
  <si>
    <t>Insurance - Housing</t>
  </si>
  <si>
    <t>Insurance - Other</t>
  </si>
  <si>
    <t>Legal Fees - Housing</t>
  </si>
  <si>
    <t>Legal Fees - Other</t>
  </si>
  <si>
    <t>Office Equipment - Maintenance</t>
  </si>
  <si>
    <t>Office Maintenance</t>
  </si>
  <si>
    <t>Printing &amp; Stationery</t>
  </si>
  <si>
    <t>Postage</t>
  </si>
  <si>
    <t>Rent &amp; Rates etc</t>
  </si>
  <si>
    <t>Subscriptions</t>
  </si>
  <si>
    <t>Staff Recruitment</t>
  </si>
  <si>
    <t>Telephones</t>
  </si>
  <si>
    <t>Training - Committee</t>
  </si>
  <si>
    <t>Training  - Staff</t>
  </si>
  <si>
    <t>Professional Fees</t>
  </si>
  <si>
    <t>Rental Income</t>
  </si>
  <si>
    <t>Houses</t>
  </si>
  <si>
    <t>Garages</t>
  </si>
  <si>
    <t>Grants etc - Lettings</t>
  </si>
  <si>
    <t>Grants - Stage 3 Adaptations</t>
  </si>
  <si>
    <t>Grants - Welfare Rights</t>
  </si>
  <si>
    <t>Grants - Wider Action</t>
  </si>
  <si>
    <t>Capital Grants Amortised</t>
  </si>
  <si>
    <t>Income From Lettings</t>
  </si>
  <si>
    <t>Income From Other Activities</t>
  </si>
  <si>
    <t>Other Income</t>
  </si>
  <si>
    <t>Right to Buy - Income</t>
  </si>
  <si>
    <t>Repaid to EDC</t>
  </si>
  <si>
    <t>Transaction Costs</t>
  </si>
  <si>
    <t>Net gain on RTB</t>
  </si>
  <si>
    <t>Interest Payments</t>
  </si>
  <si>
    <t>Pension Deficit Payments</t>
  </si>
  <si>
    <t>New Boilers</t>
  </si>
  <si>
    <t>Braes O' Yetts</t>
  </si>
  <si>
    <t>Development Allowances</t>
  </si>
  <si>
    <t>Equipment</t>
  </si>
  <si>
    <t>Grant Income - Capital</t>
  </si>
  <si>
    <t>Opening Balance</t>
  </si>
  <si>
    <t>Grant Income - Lettings</t>
  </si>
  <si>
    <t>RTB Income - Net</t>
  </si>
  <si>
    <t>Interest Received</t>
  </si>
  <si>
    <t>Grant Income - Other</t>
  </si>
  <si>
    <t>Loans Drawn Down</t>
  </si>
  <si>
    <t>Expenditure</t>
  </si>
  <si>
    <t>Capital Expenditure - Housing</t>
  </si>
  <si>
    <t>Capital Expenditure - Other</t>
  </si>
  <si>
    <t>Pension Deficit Costs</t>
  </si>
  <si>
    <t>Closing Balance</t>
  </si>
  <si>
    <t>Management Costs per Unit (£)</t>
  </si>
  <si>
    <t>Reactive Maintenance per Unit (£)</t>
  </si>
  <si>
    <t>Planned Maintenance per Unit (£)</t>
  </si>
  <si>
    <t>Primary Ratios</t>
  </si>
  <si>
    <t>Interest Cover (%)</t>
  </si>
  <si>
    <t>Gearing (%)</t>
  </si>
  <si>
    <t>Efficiency</t>
  </si>
  <si>
    <t>Voids (%)</t>
  </si>
  <si>
    <t>Gross Rent Arrears - exc EDC (%)</t>
  </si>
  <si>
    <t>Net Rent Arrears - exc EDC (%)</t>
  </si>
  <si>
    <t>Bad Debts (%)</t>
  </si>
  <si>
    <t>Staff Costs/Turnover (%)</t>
  </si>
  <si>
    <t>Liquidity</t>
  </si>
  <si>
    <t>Current Ratio</t>
  </si>
  <si>
    <t>Profitability</t>
  </si>
  <si>
    <t>Financing</t>
  </si>
  <si>
    <t>Debt per Unit (£)</t>
  </si>
  <si>
    <t>Net Debt per Unit (£)</t>
  </si>
  <si>
    <t>Other Rents</t>
  </si>
  <si>
    <t>Capital Grants</t>
  </si>
  <si>
    <t>RTB Income</t>
  </si>
  <si>
    <t>Total Income</t>
  </si>
  <si>
    <t>Capital Costs</t>
  </si>
  <si>
    <t>Property Insurance</t>
  </si>
  <si>
    <t>Mgmt/Maint Admin Costs</t>
  </si>
  <si>
    <t>Other Costs</t>
  </si>
  <si>
    <t>Other Fixed Assets</t>
  </si>
  <si>
    <t>Pension Deficit Payment</t>
  </si>
  <si>
    <t>Drs/Crs Movement</t>
  </si>
  <si>
    <t>Change in Creditors</t>
  </si>
  <si>
    <t>Amortisation of Grants</t>
  </si>
  <si>
    <t>Other Depreciation</t>
  </si>
  <si>
    <t xml:space="preserve">S'clyde Pension </t>
  </si>
  <si>
    <t>misc</t>
  </si>
  <si>
    <t>Turnover per unit (£)</t>
  </si>
  <si>
    <t>Turnover per unit</t>
  </si>
  <si>
    <t>Services to Other RSLs</t>
  </si>
  <si>
    <t>Grants etc - Other Income</t>
  </si>
  <si>
    <t>The covenants and the Association's budgeted performance are shown below.</t>
  </si>
  <si>
    <t>n/a</t>
  </si>
  <si>
    <t>Net Assets</t>
  </si>
  <si>
    <t>Covenant</t>
  </si>
  <si>
    <t>Value</t>
  </si>
  <si>
    <t>Net</t>
  </si>
  <si>
    <t>Cost</t>
  </si>
  <si>
    <t>to this service.</t>
  </si>
  <si>
    <t>The net cost of the Tenancy Support Service represents the Association's own contribution</t>
  </si>
  <si>
    <t>2018/19</t>
  </si>
  <si>
    <t>31.03.19</t>
  </si>
  <si>
    <t>MAR 2019</t>
  </si>
  <si>
    <t>MONTHLY CASHFLOW STATEMENT</t>
  </si>
  <si>
    <t>BUDGET ASSUMPTIONS</t>
  </si>
  <si>
    <t>MANAGEMENT EXPENSES ANALYSIS</t>
  </si>
  <si>
    <t>The most recent stock valuation was provided by Jones Lang</t>
  </si>
  <si>
    <t>management accounts.</t>
  </si>
  <si>
    <t>applicable information.</t>
  </si>
  <si>
    <t>This covenant may be tested at any time by reference to the latest</t>
  </si>
  <si>
    <t>must not be less than its liabilities.</t>
  </si>
  <si>
    <t>agreement that states that the value of the Association's assets</t>
  </si>
  <si>
    <t>Net Cashflow From Operating Activities</t>
  </si>
  <si>
    <t>Amortisation of Capital Grants</t>
  </si>
  <si>
    <t>Change in Debtors</t>
  </si>
  <si>
    <t>Change in Pension Deficit Creditor</t>
  </si>
  <si>
    <t>Other Pension Costs</t>
  </si>
  <si>
    <t>Investing Activities</t>
  </si>
  <si>
    <t>Cost of New Housing</t>
  </si>
  <si>
    <t>Cost of New Components</t>
  </si>
  <si>
    <t>Cost of Other Fixed Assets</t>
  </si>
  <si>
    <t>Capital Grants Received</t>
  </si>
  <si>
    <t>Financing Activities</t>
  </si>
  <si>
    <t>Interest Paid</t>
  </si>
  <si>
    <t>Loans Repaid</t>
  </si>
  <si>
    <t>Increase in Cash</t>
  </si>
  <si>
    <t>Closing Cash</t>
  </si>
  <si>
    <t>Opening Cash</t>
  </si>
  <si>
    <t>Loan Capital Repayable</t>
  </si>
  <si>
    <t>Sales Income</t>
  </si>
  <si>
    <t>Loan Capital Repaid</t>
  </si>
  <si>
    <t xml:space="preserve">Playpark Maintenance </t>
  </si>
  <si>
    <t>Indirect staff costs include the external provision of development and finance services.</t>
  </si>
  <si>
    <t>FINAL ACCS</t>
  </si>
  <si>
    <t>BUDGET 1819</t>
  </si>
  <si>
    <t>***</t>
  </si>
  <si>
    <t>Key Mgmnt Costs/Staff Costs (%)</t>
  </si>
  <si>
    <t>Debt Burden</t>
  </si>
  <si>
    <t>Diversification</t>
  </si>
  <si>
    <t>Income From Non Rental Activities (%)</t>
  </si>
  <si>
    <t>Other Activities Surplus/Operating Surplus (%)</t>
  </si>
  <si>
    <t xml:space="preserve">Bank charges include charges from Allpay, Bankline and new automated payment system. </t>
  </si>
  <si>
    <t>Change in Pension Creditor</t>
  </si>
  <si>
    <t>Shares Written Off</t>
  </si>
  <si>
    <t>EIR Adj</t>
  </si>
  <si>
    <t>Loans &lt; One Year</t>
  </si>
  <si>
    <t>Loans &gt; One Year</t>
  </si>
  <si>
    <t>Scottish Gov Loan</t>
  </si>
  <si>
    <t>Pension Reserves</t>
  </si>
  <si>
    <t>Key Mgmnt Costs</t>
  </si>
  <si>
    <t>Key Mgmnt Costs/Staff Costs</t>
  </si>
  <si>
    <t>Grants Amortised &lt; One Year</t>
  </si>
  <si>
    <t>Gain On Sale</t>
  </si>
  <si>
    <t xml:space="preserve">Interest Payable </t>
  </si>
  <si>
    <t>Debt Burden ratio</t>
  </si>
  <si>
    <t>Units</t>
  </si>
  <si>
    <t>Other Activities/Operating Surplus</t>
  </si>
  <si>
    <t>Income From Non Rent Activities</t>
  </si>
  <si>
    <t>Grants Received</t>
  </si>
  <si>
    <t>Income From Non Rental Activities</t>
  </si>
  <si>
    <t>Other Activities Surplus/Operating Surplus</t>
  </si>
  <si>
    <t>Other Activities Surplus</t>
  </si>
  <si>
    <t>Grants Amortised</t>
  </si>
  <si>
    <t>Debt Burden (yrs)</t>
  </si>
  <si>
    <t>This covenant will be tested annually at each financial year end and</t>
  </si>
  <si>
    <t>Pensions- The Association is now offering a defined contribution scheme only to all staff,</t>
  </si>
  <si>
    <t>No pension scheme - 3 members</t>
  </si>
  <si>
    <t>Van costs include fuel and insurance costs as well as general maintenance costs for two vans.</t>
  </si>
  <si>
    <t>Professional fees relate to data protection and procurement advice, expert witnesses, feu plans,</t>
  </si>
  <si>
    <t>Equity</t>
  </si>
  <si>
    <t>Total</t>
  </si>
  <si>
    <t>2019/20</t>
  </si>
  <si>
    <t>2020/21</t>
  </si>
  <si>
    <t>Rented</t>
  </si>
  <si>
    <t>Shared</t>
  </si>
  <si>
    <t>Grants</t>
  </si>
  <si>
    <t>Sales</t>
  </si>
  <si>
    <t>Net Cost</t>
  </si>
  <si>
    <t>This is an agreed waiver to a condition in the revised loan</t>
  </si>
  <si>
    <t>Loans Outstanding &lt; one year</t>
  </si>
  <si>
    <t>Loans Outstanding &gt; one year</t>
  </si>
  <si>
    <t>Overheads etc</t>
  </si>
  <si>
    <t>Overheads etc/Turnover</t>
  </si>
  <si>
    <t>Overheads etc/Turnover (%)</t>
  </si>
  <si>
    <t>SUMMARY</t>
  </si>
  <si>
    <t>ANNUAL</t>
  </si>
  <si>
    <t>Reactive maintenance</t>
  </si>
  <si>
    <t>monitored (but not tested) quarterly in line with the quarterly</t>
  </si>
  <si>
    <t>Committee Expenses</t>
  </si>
  <si>
    <t>Ventilation</t>
  </si>
  <si>
    <t>31st MARCH 2020</t>
  </si>
  <si>
    <t>31.03.20</t>
  </si>
  <si>
    <t>ANNUAL CASHFLOW STATEMENT FOR THE YEAR TO 31 MARCH 2020</t>
  </si>
  <si>
    <t>MOVE</t>
  </si>
  <si>
    <t>MAR 20</t>
  </si>
  <si>
    <t>Capital Income</t>
  </si>
  <si>
    <t>HAG Braes O' Yetts - Grants</t>
  </si>
  <si>
    <t>Increase in Debtors</t>
  </si>
  <si>
    <t>Inflation at Oct 2018 was; CPI - 2.3%, RPI - 3.2%.</t>
  </si>
  <si>
    <t>Staff Costs are based on the new staff structure being in place from 1st April 2019.</t>
  </si>
  <si>
    <t>Gutter Cleaning</t>
  </si>
  <si>
    <t>Audit Fees:- Internal Audit (£4,000), External Audit (£10,500).</t>
  </si>
  <si>
    <t>donations, Health at Work schemes and general sundries.</t>
  </si>
  <si>
    <t>Insurance costs will decrease in line with recent renewal costs.</t>
  </si>
  <si>
    <t xml:space="preserve">Major subscriptions are to; SHARE (£4,300) EVH (£4,000), Advice UK (£1,500), </t>
  </si>
  <si>
    <t>Benchmarking club (£1,620), GWSHF (£1,300).</t>
  </si>
  <si>
    <t>Cycle Project</t>
  </si>
  <si>
    <t>Community Garden</t>
  </si>
  <si>
    <t>Actual payments towards the SHAPS pension deficit will amount to £47,817.</t>
  </si>
  <si>
    <t>Work will continue on the  new housing development at Braes O' Yetts, providing 22 rented</t>
  </si>
  <si>
    <t>and funds drawn from the Royal Bank of Scotland.</t>
  </si>
  <si>
    <t>Deferred Income is in respect of capital grants received that have yet to be written back</t>
  </si>
  <si>
    <t>to reserves.</t>
  </si>
  <si>
    <t>Revenue grant income consists of grants for Stage 3 Adaptations - £47,000.</t>
  </si>
  <si>
    <t>The rent increase for the year is 2.5%.</t>
  </si>
  <si>
    <t>Deferred income amortised in the year amounts to £439,819</t>
  </si>
  <si>
    <t xml:space="preserve">Salaries are based on an increase of 2.5%. </t>
  </si>
  <si>
    <t>Heat Detection Upgrades</t>
  </si>
  <si>
    <t>New Acquisition Upgrades</t>
  </si>
  <si>
    <t>Environmental Works</t>
  </si>
  <si>
    <t>tenants survey,GDPR regulations and IT development..</t>
  </si>
  <si>
    <t>funded by the Big lottery Fund until August 2019.</t>
  </si>
  <si>
    <t>Interest receipts in the year will amount to £2,200.</t>
  </si>
  <si>
    <t>The cost of other fixed assets purchased in the year will be £35,000. This will include</t>
  </si>
  <si>
    <t>office refurbishment and new furniture &amp; equipment.</t>
  </si>
  <si>
    <t>The Association's cash balances will fluctuate during the year and will eventually decrease</t>
  </si>
  <si>
    <t>In addition, a furrther £175,000 will be repaid towards Facility A.</t>
  </si>
  <si>
    <t>Shared Equity Sales</t>
  </si>
  <si>
    <t>PLAN - YR 2</t>
  </si>
  <si>
    <t>Higher rent increases and additional units.</t>
  </si>
  <si>
    <t>Not as much required to be drawn down.</t>
  </si>
  <si>
    <t>Wider Action income re Cycle Path Project.</t>
  </si>
  <si>
    <t>Timing differences in BoY development.</t>
  </si>
  <si>
    <t>Wider Action Expenditure re Cycle Path Project.</t>
  </si>
  <si>
    <t>Braes o Yetts development to begin in November 2017 and completed in August 2019.</t>
  </si>
  <si>
    <t>Asset Cover - Max</t>
  </si>
  <si>
    <t>Interest Cover - Min</t>
  </si>
  <si>
    <t>Gearing - Max</t>
  </si>
  <si>
    <t>Net Assets - Min</t>
  </si>
  <si>
    <t>Capital &amp; Reserves</t>
  </si>
  <si>
    <t>By the end of March 2020 the Association will own 830 properties.</t>
  </si>
  <si>
    <t>Although two employees will not start until October 2019.</t>
  </si>
  <si>
    <t xml:space="preserve">Staff who choose not to join this scheme will join the auto enrolment scheme from which </t>
  </si>
  <si>
    <t>they can opt out if they wish.</t>
  </si>
  <si>
    <t>Hillhead HA scheme - employer's rate - 8.45% - 19 members.</t>
  </si>
  <si>
    <t>Auto enrolment scheme - employer's rate - 5% - 3 members.</t>
  </si>
  <si>
    <t>Pension costs, excluding the deficit contribution will be £56,100.</t>
  </si>
  <si>
    <t>Advertising includes the cost the cost of five newsletters in the year, an annual report and other</t>
  </si>
  <si>
    <t>Staff recruitment costs will increase re the new staff structure.</t>
  </si>
  <si>
    <t>General expenses include; a Tenants Loyalty Scheme, catering, tenants prizes, communities fund,</t>
  </si>
  <si>
    <t xml:space="preserve">in the year to assist with the funding of the Braes o Yetts development. </t>
  </si>
  <si>
    <t>The Association will draw down an additional £1m from the Royal Bank of Scotland (RBS)</t>
  </si>
  <si>
    <t>SHAPS PENSION</t>
  </si>
  <si>
    <t>SHAPS Pension</t>
  </si>
  <si>
    <t>Net Surplus</t>
  </si>
  <si>
    <t>Other Comprehensive Income</t>
  </si>
  <si>
    <t>Other capital expenditure</t>
  </si>
  <si>
    <t>Heat detection upgrades</t>
  </si>
  <si>
    <t>Misc components</t>
  </si>
  <si>
    <t>Smoke Alarms</t>
  </si>
  <si>
    <t xml:space="preserve">and 8 shared equity houses. This project will be completed in the autumn of 2019. </t>
  </si>
  <si>
    <t xml:space="preserve">Expenditure in 2019/20 will amount to £1.35m and will be funded by grants, sales income </t>
  </si>
  <si>
    <t>Accumulated depreciation will be £7.24m, including the charge of £965,000 for the year.</t>
  </si>
  <si>
    <t xml:space="preserve"> 2019/20.</t>
  </si>
  <si>
    <t>The net balance of RBS loans oustanding at March 2020 will be £13.934m</t>
  </si>
  <si>
    <t>Liabilities due within one year will consist of loans due within one year and miscellaneous</t>
  </si>
  <si>
    <t>creditors.</t>
  </si>
  <si>
    <t xml:space="preserve">Liabilities due after one year will consist of the balance of loans and the grant repayable </t>
  </si>
  <si>
    <t>to the Scottish Government,</t>
  </si>
  <si>
    <t>SHAPS Pension Liability</t>
  </si>
  <si>
    <t>It has been assumed that there will be no movement in the SHAPS pension liabiity</t>
  </si>
  <si>
    <t>is therefore assumed to be</t>
  </si>
  <si>
    <t>apart from the pension deficit payment. The balance of this liability at March 2020</t>
  </si>
  <si>
    <t>Revised</t>
  </si>
  <si>
    <t xml:space="preserve">Original </t>
  </si>
  <si>
    <t>Original</t>
  </si>
  <si>
    <t>Interest costs - £728,000. Non Utilistation Fees - £12,000.</t>
  </si>
  <si>
    <t>Two Welfare Rights Officers will be employed throughout 2019/20. This service will be partly</t>
  </si>
  <si>
    <t>Interest charges are based on LIBOR which is assumed to be at a rate of 1%.</t>
  </si>
  <si>
    <t>Debtors balances are base on the balance at March 2019 adjusted for movements in</t>
  </si>
  <si>
    <t>Environmental works now capitalised.</t>
  </si>
  <si>
    <t>REVISED</t>
  </si>
  <si>
    <t>BUDGETED STATEMENT OF COMPREHENSIVE INCOME - REVISED</t>
  </si>
  <si>
    <t>Income From Other RSLs</t>
  </si>
  <si>
    <t>Income From Antonine HA</t>
  </si>
  <si>
    <t>Income From Arklet HA</t>
  </si>
  <si>
    <t>Grants - Community Growing Project</t>
  </si>
  <si>
    <t>share of the costs.</t>
  </si>
  <si>
    <t>Caledonia HA (formerly Antonine HA) and Arklet HA will both contrinute £8,500 for their</t>
  </si>
  <si>
    <t>The Association will also provide Director services to Abronhill HA, generating income</t>
  </si>
  <si>
    <t>of £37,500.</t>
  </si>
  <si>
    <t>by £677,000 in the year, finishing at just over £1.6m at March 2020.</t>
  </si>
  <si>
    <t xml:space="preserve">The Association's total net assets at March 2020 will be </t>
  </si>
  <si>
    <t>ABRON</t>
  </si>
  <si>
    <t>HILL</t>
  </si>
  <si>
    <t>Cumulative cash differences in Year 1.</t>
  </si>
  <si>
    <t>Higher costs in the year.</t>
  </si>
  <si>
    <t>Some costs now allocated to Other Costs.</t>
  </si>
  <si>
    <t>Addition of office works.</t>
  </si>
  <si>
    <t>Not as much required to be repaid in the year.</t>
  </si>
  <si>
    <t>Change in movement of debtors &amp; creditors.</t>
  </si>
  <si>
    <t>Other Costs Per Unit</t>
  </si>
  <si>
    <t>Valuations JLL - April 2019</t>
  </si>
  <si>
    <t>Other Costs per Unit (£)</t>
  </si>
  <si>
    <t>Lasalle (JLL) in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</si>
</sst>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£&quot;#,##0;\-&quot;£&quot;#,##0"/>
    <numFmt numFmtId="44" formatCode="_-&quot;£&quot;* #,##0.00_-;\-&quot;£&quot;* #,##0.00_-;_-&quot;£&quot;* &quot;-&quot;??_-;_-@_-"/>
    <numFmt numFmtId="164" formatCode="0.0"/>
    <numFmt numFmtId="165" formatCode="_-&quot;£&quot;* #,##0_-;\-&quot;£&quot;* #,##0_-;_-&quot;£&quot;* &quot;-&quot;??_-;_-@_-"/>
    <numFmt numFmtId="166" formatCode="0.0%"/>
    <numFmt numFmtId="167" formatCode="#,##0.0"/>
    <numFmt numFmtId="168" formatCode="&quot;£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quotePrefix="1" applyFont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Fill="1" applyBorder="1"/>
    <xf numFmtId="3" fontId="0" fillId="0" borderId="3" xfId="0" applyNumberFormat="1" applyBorder="1"/>
    <xf numFmtId="3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2" fillId="0" borderId="0" xfId="0" quotePrefix="1" applyFont="1"/>
    <xf numFmtId="2" fontId="0" fillId="0" borderId="0" xfId="0" applyNumberFormat="1"/>
    <xf numFmtId="10" fontId="0" fillId="0" borderId="0" xfId="0" applyNumberFormat="1"/>
    <xf numFmtId="44" fontId="0" fillId="0" borderId="0" xfId="1" applyFont="1"/>
    <xf numFmtId="165" fontId="0" fillId="0" borderId="0" xfId="1" applyNumberFormat="1" applyFont="1"/>
    <xf numFmtId="9" fontId="0" fillId="0" borderId="0" xfId="2" applyFont="1"/>
    <xf numFmtId="10" fontId="0" fillId="0" borderId="0" xfId="2" applyNumberFormat="1" applyFont="1"/>
    <xf numFmtId="3" fontId="2" fillId="0" borderId="0" xfId="0" applyNumberFormat="1" applyFont="1"/>
    <xf numFmtId="0" fontId="0" fillId="0" borderId="0" xfId="0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0" xfId="0" applyAlignment="1">
      <alignment horizontal="right"/>
    </xf>
    <xf numFmtId="3" fontId="2" fillId="0" borderId="0" xfId="0" applyNumberFormat="1" applyFont="1" applyBorder="1"/>
    <xf numFmtId="0" fontId="2" fillId="0" borderId="0" xfId="0" applyFont="1" applyBorder="1"/>
    <xf numFmtId="168" fontId="0" fillId="0" borderId="0" xfId="1" applyNumberFormat="1" applyFont="1"/>
    <xf numFmtId="168" fontId="0" fillId="0" borderId="0" xfId="0" applyNumberFormat="1"/>
    <xf numFmtId="166" fontId="0" fillId="0" borderId="0" xfId="0" applyNumberFormat="1"/>
    <xf numFmtId="4" fontId="0" fillId="0" borderId="0" xfId="0" applyNumberFormat="1"/>
    <xf numFmtId="166" fontId="0" fillId="0" borderId="0" xfId="2" applyNumberFormat="1" applyFont="1"/>
    <xf numFmtId="167" fontId="0" fillId="0" borderId="0" xfId="0" applyNumberFormat="1"/>
    <xf numFmtId="167" fontId="0" fillId="0" borderId="0" xfId="2" applyNumberFormat="1" applyFont="1"/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10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quotePrefix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quotePrefix="1" applyFill="1" applyBorder="1"/>
    <xf numFmtId="3" fontId="4" fillId="0" borderId="0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3" fontId="4" fillId="0" borderId="2" xfId="0" applyNumberFormat="1" applyFont="1" applyBorder="1"/>
    <xf numFmtId="166" fontId="4" fillId="0" borderId="0" xfId="0" applyNumberFormat="1" applyFont="1" applyBorder="1"/>
    <xf numFmtId="3" fontId="4" fillId="0" borderId="1" xfId="0" applyNumberFormat="1" applyFont="1" applyBorder="1"/>
    <xf numFmtId="10" fontId="2" fillId="0" borderId="0" xfId="0" applyNumberFormat="1" applyFont="1" applyBorder="1"/>
    <xf numFmtId="0" fontId="3" fillId="0" borderId="0" xfId="0" applyFont="1" applyFill="1" applyBorder="1"/>
    <xf numFmtId="0" fontId="5" fillId="0" borderId="0" xfId="0" applyFont="1" applyBorder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0" xfId="0" quotePrefix="1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0" fillId="0" borderId="0" xfId="0" applyNumberFormat="1" applyBorder="1"/>
    <xf numFmtId="0" fontId="5" fillId="0" borderId="0" xfId="0" applyFont="1"/>
    <xf numFmtId="17" fontId="2" fillId="0" borderId="0" xfId="0" quotePrefix="1" applyNumberFormat="1" applyFont="1"/>
    <xf numFmtId="3" fontId="0" fillId="0" borderId="0" xfId="0" applyNumberFormat="1" applyBorder="1" applyAlignment="1">
      <alignment horizontal="center"/>
    </xf>
    <xf numFmtId="0" fontId="1" fillId="0" borderId="0" xfId="0" applyFont="1"/>
    <xf numFmtId="3" fontId="1" fillId="0" borderId="0" xfId="0" applyNumberFormat="1" applyFont="1" applyBorder="1"/>
    <xf numFmtId="4" fontId="0" fillId="0" borderId="0" xfId="0" applyNumberForma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0" fontId="1" fillId="0" borderId="1" xfId="0" applyFont="1" applyBorder="1"/>
    <xf numFmtId="3" fontId="1" fillId="0" borderId="3" xfId="0" applyNumberFormat="1" applyFont="1" applyBorder="1"/>
    <xf numFmtId="0" fontId="1" fillId="0" borderId="0" xfId="0" applyFont="1" applyFill="1"/>
    <xf numFmtId="0" fontId="0" fillId="0" borderId="0" xfId="0" applyFill="1"/>
    <xf numFmtId="3" fontId="0" fillId="0" borderId="0" xfId="0" applyNumberFormat="1" applyFont="1"/>
    <xf numFmtId="9" fontId="2" fillId="0" borderId="0" xfId="2" applyFont="1" applyBorder="1"/>
    <xf numFmtId="3" fontId="0" fillId="0" borderId="2" xfId="0" applyNumberFormat="1" applyFill="1" applyBorder="1"/>
    <xf numFmtId="3" fontId="0" fillId="0" borderId="0" xfId="0" applyNumberFormat="1" applyFill="1"/>
    <xf numFmtId="3" fontId="0" fillId="0" borderId="3" xfId="0" applyNumberFormat="1" applyFill="1" applyBorder="1"/>
    <xf numFmtId="3" fontId="0" fillId="0" borderId="1" xfId="0" applyNumberFormat="1" applyFill="1" applyBorder="1"/>
    <xf numFmtId="3" fontId="0" fillId="2" borderId="0" xfId="0" applyNumberFormat="1" applyFill="1"/>
    <xf numFmtId="3" fontId="1" fillId="0" borderId="0" xfId="0" applyNumberFormat="1" applyFont="1" applyFill="1"/>
    <xf numFmtId="0" fontId="1" fillId="0" borderId="0" xfId="0" applyFont="1" applyBorder="1"/>
    <xf numFmtId="3" fontId="1" fillId="0" borderId="0" xfId="0" quotePrefix="1" applyNumberFormat="1" applyFont="1"/>
    <xf numFmtId="3" fontId="2" fillId="0" borderId="0" xfId="0" quotePrefix="1" applyNumberFormat="1" applyFont="1"/>
    <xf numFmtId="0" fontId="1" fillId="0" borderId="0" xfId="0" applyFont="1" applyAlignment="1">
      <alignment horizontal="center"/>
    </xf>
    <xf numFmtId="3" fontId="4" fillId="0" borderId="4" xfId="0" applyNumberFormat="1" applyFont="1" applyBorder="1"/>
    <xf numFmtId="9" fontId="4" fillId="0" borderId="0" xfId="2" applyFont="1" applyBorder="1"/>
    <xf numFmtId="3" fontId="4" fillId="0" borderId="5" xfId="0" applyNumberFormat="1" applyFont="1" applyBorder="1"/>
    <xf numFmtId="3" fontId="4" fillId="0" borderId="3" xfId="0" applyNumberFormat="1" applyFont="1" applyBorder="1"/>
    <xf numFmtId="3" fontId="0" fillId="0" borderId="0" xfId="0" quotePrefix="1" applyNumberFormat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" fontId="0" fillId="0" borderId="5" xfId="0" applyNumberFormat="1" applyBorder="1"/>
    <xf numFmtId="3" fontId="2" fillId="0" borderId="5" xfId="0" applyNumberFormat="1" applyFont="1" applyBorder="1"/>
    <xf numFmtId="0" fontId="8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5" xfId="0" applyNumberFormat="1" applyFill="1" applyBorder="1"/>
    <xf numFmtId="165" fontId="0" fillId="0" borderId="0" xfId="1" applyNumberFormat="1" applyFont="1" applyAlignment="1">
      <alignment horizontal="right"/>
    </xf>
    <xf numFmtId="3" fontId="1" fillId="0" borderId="2" xfId="0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Fill="1" applyBorder="1"/>
    <xf numFmtId="3" fontId="2" fillId="0" borderId="0" xfId="0" applyNumberFormat="1" applyFont="1" applyFill="1"/>
    <xf numFmtId="10" fontId="4" fillId="0" borderId="0" xfId="2" applyNumberFormat="1" applyFont="1" applyBorder="1"/>
    <xf numFmtId="3" fontId="2" fillId="0" borderId="0" xfId="0" quotePrefix="1" applyNumberFormat="1" applyFont="1" applyBorder="1"/>
    <xf numFmtId="3" fontId="0" fillId="0" borderId="0" xfId="2" applyNumberFormat="1" applyFont="1"/>
    <xf numFmtId="10" fontId="1" fillId="0" borderId="0" xfId="2" applyNumberFormat="1" applyFont="1" applyBorder="1" applyAlignment="1">
      <alignment horizontal="right"/>
    </xf>
    <xf numFmtId="5" fontId="4" fillId="0" borderId="0" xfId="1" applyNumberFormat="1" applyFont="1" applyBorder="1"/>
    <xf numFmtId="5" fontId="0" fillId="0" borderId="0" xfId="0" applyNumberFormat="1"/>
    <xf numFmtId="5" fontId="1" fillId="0" borderId="0" xfId="1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166" fontId="2" fillId="0" borderId="0" xfId="2" applyNumberFormat="1" applyFont="1" applyBorder="1"/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Border="1"/>
    <xf numFmtId="167" fontId="0" fillId="0" borderId="0" xfId="0" applyNumberFormat="1" applyBorder="1"/>
    <xf numFmtId="167" fontId="1" fillId="0" borderId="0" xfId="0" applyNumberFormat="1" applyFont="1"/>
    <xf numFmtId="166" fontId="1" fillId="0" borderId="0" xfId="0" applyNumberFormat="1" applyFont="1" applyBorder="1"/>
    <xf numFmtId="166" fontId="0" fillId="0" borderId="0" xfId="0" applyNumberFormat="1" applyBorder="1"/>
    <xf numFmtId="166" fontId="1" fillId="0" borderId="0" xfId="2" applyNumberFormat="1" applyFont="1" applyAlignment="1">
      <alignment horizontal="right"/>
    </xf>
    <xf numFmtId="164" fontId="0" fillId="0" borderId="0" xfId="0" applyNumberFormat="1"/>
    <xf numFmtId="0" fontId="1" fillId="0" borderId="0" xfId="0" quotePrefix="1" applyFont="1"/>
    <xf numFmtId="166" fontId="0" fillId="0" borderId="0" xfId="2" applyNumberFormat="1" applyFont="1" applyAlignment="1">
      <alignment horizontal="right"/>
    </xf>
    <xf numFmtId="9" fontId="1" fillId="0" borderId="0" xfId="2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/>
    <xf numFmtId="3" fontId="11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28" sqref="J28"/>
    </sheetView>
  </sheetViews>
  <sheetFormatPr defaultRowHeight="12.75" x14ac:dyDescent="0.2"/>
  <cols>
    <col min="1" max="5" width="9.140625" style="5"/>
    <col min="6" max="6" width="10.5703125" style="5" customWidth="1"/>
    <col min="7" max="7" width="9.140625" style="5"/>
    <col min="8" max="8" width="10.7109375" style="5" bestFit="1" customWidth="1"/>
    <col min="9" max="16384" width="9.140625" style="5"/>
  </cols>
  <sheetData>
    <row r="1" spans="1:10" ht="15.75" x14ac:dyDescent="0.25">
      <c r="A1" s="39" t="s">
        <v>25</v>
      </c>
    </row>
    <row r="2" spans="1:10" ht="15.75" x14ac:dyDescent="0.25">
      <c r="A2" s="39"/>
    </row>
    <row r="3" spans="1:10" ht="15.75" x14ac:dyDescent="0.25">
      <c r="A3" s="39" t="s">
        <v>577</v>
      </c>
    </row>
    <row r="4" spans="1:10" ht="15.75" x14ac:dyDescent="0.25">
      <c r="A4" s="39" t="s">
        <v>26</v>
      </c>
      <c r="D4" s="61" t="s">
        <v>485</v>
      </c>
    </row>
    <row r="6" spans="1:10" x14ac:dyDescent="0.2">
      <c r="F6" s="22" t="s">
        <v>568</v>
      </c>
      <c r="G6" s="22"/>
      <c r="H6" s="22" t="s">
        <v>569</v>
      </c>
    </row>
    <row r="7" spans="1:10" x14ac:dyDescent="0.2">
      <c r="F7" s="22" t="s">
        <v>256</v>
      </c>
      <c r="G7" s="22"/>
      <c r="H7" s="22" t="s">
        <v>256</v>
      </c>
    </row>
    <row r="9" spans="1:10" x14ac:dyDescent="0.2">
      <c r="F9" s="64">
        <v>2020</v>
      </c>
      <c r="G9" s="51"/>
      <c r="H9" s="64">
        <v>2020</v>
      </c>
    </row>
    <row r="10" spans="1:10" x14ac:dyDescent="0.2">
      <c r="F10" s="51" t="s">
        <v>40</v>
      </c>
      <c r="G10" s="51"/>
      <c r="H10" s="51" t="s">
        <v>40</v>
      </c>
    </row>
    <row r="12" spans="1:10" x14ac:dyDescent="0.2">
      <c r="A12" s="72" t="s">
        <v>116</v>
      </c>
      <c r="B12" s="72"/>
      <c r="C12" s="72"/>
      <c r="D12" s="72"/>
      <c r="E12" s="101"/>
      <c r="F12" s="72">
        <f>'Page 2'!E51</f>
        <v>4861169</v>
      </c>
      <c r="H12" s="5">
        <v>4809619</v>
      </c>
      <c r="J12" s="32"/>
    </row>
    <row r="13" spans="1:10" x14ac:dyDescent="0.2">
      <c r="A13" s="72"/>
      <c r="B13" s="72"/>
      <c r="C13" s="72"/>
      <c r="D13" s="72"/>
      <c r="E13" s="101"/>
      <c r="F13" s="72"/>
      <c r="H13" s="10"/>
    </row>
    <row r="14" spans="1:10" x14ac:dyDescent="0.2">
      <c r="A14" s="72" t="s">
        <v>260</v>
      </c>
      <c r="B14" s="72"/>
      <c r="C14" s="72"/>
      <c r="D14" s="72"/>
      <c r="E14" s="101"/>
      <c r="F14" s="73">
        <f>-'Page 2'!F51</f>
        <v>-3674540</v>
      </c>
      <c r="H14" s="6">
        <f>-4273440</f>
        <v>-4273440</v>
      </c>
    </row>
    <row r="15" spans="1:10" x14ac:dyDescent="0.2">
      <c r="A15" s="72"/>
      <c r="B15" s="72"/>
      <c r="C15" s="72"/>
      <c r="D15" s="72"/>
      <c r="E15" s="101"/>
      <c r="F15" s="72"/>
    </row>
    <row r="16" spans="1:10" x14ac:dyDescent="0.2">
      <c r="A16" s="72" t="s">
        <v>261</v>
      </c>
      <c r="B16" s="72"/>
      <c r="C16" s="72"/>
      <c r="D16" s="72"/>
      <c r="E16" s="101"/>
      <c r="F16" s="72">
        <f>SUM(F12:F14)</f>
        <v>1186629</v>
      </c>
      <c r="G16" s="22"/>
      <c r="H16" s="72">
        <f>SUM(H12:H14)</f>
        <v>536179</v>
      </c>
    </row>
    <row r="17" spans="1:8" x14ac:dyDescent="0.2">
      <c r="E17" s="62"/>
    </row>
    <row r="18" spans="1:8" x14ac:dyDescent="0.2">
      <c r="A18" s="72" t="s">
        <v>262</v>
      </c>
      <c r="E18" s="62"/>
      <c r="F18" s="5">
        <f>'Page 8'!R49</f>
        <v>0</v>
      </c>
      <c r="H18" s="5">
        <v>0</v>
      </c>
    </row>
    <row r="19" spans="1:8" x14ac:dyDescent="0.2">
      <c r="E19" s="62"/>
    </row>
    <row r="20" spans="1:8" x14ac:dyDescent="0.2">
      <c r="A20" s="72" t="s">
        <v>104</v>
      </c>
      <c r="E20" s="62"/>
      <c r="F20" s="5">
        <f>'Page 8'!R52</f>
        <v>2200</v>
      </c>
      <c r="H20" s="5">
        <v>2200</v>
      </c>
    </row>
    <row r="21" spans="1:8" x14ac:dyDescent="0.2">
      <c r="A21" s="72" t="s">
        <v>105</v>
      </c>
      <c r="E21" s="62"/>
      <c r="F21" s="10">
        <f>-'Page 8'!R53</f>
        <v>-740007</v>
      </c>
      <c r="G21" s="10"/>
      <c r="H21" s="10">
        <f>-740007</f>
        <v>-740007</v>
      </c>
    </row>
    <row r="22" spans="1:8" x14ac:dyDescent="0.2">
      <c r="A22" s="72" t="s">
        <v>263</v>
      </c>
      <c r="B22" s="72"/>
      <c r="C22" s="72"/>
      <c r="D22" s="72"/>
      <c r="E22" s="101"/>
      <c r="F22" s="70">
        <f>-'Page 8'!R54</f>
        <v>0</v>
      </c>
      <c r="H22" s="10">
        <f>-497</f>
        <v>-497</v>
      </c>
    </row>
    <row r="23" spans="1:8" x14ac:dyDescent="0.2">
      <c r="E23" s="62"/>
      <c r="F23" s="6"/>
      <c r="H23" s="6"/>
    </row>
    <row r="24" spans="1:8" x14ac:dyDescent="0.2">
      <c r="A24" s="22" t="s">
        <v>549</v>
      </c>
      <c r="B24" s="22"/>
      <c r="C24" s="22"/>
      <c r="D24" s="22"/>
      <c r="E24" s="62"/>
      <c r="F24" s="27">
        <f>SUM(F16:F23)</f>
        <v>448822</v>
      </c>
      <c r="G24" s="27"/>
      <c r="H24" s="27">
        <f>SUM(H16:H23)</f>
        <v>-202125</v>
      </c>
    </row>
    <row r="25" spans="1:8" x14ac:dyDescent="0.2">
      <c r="E25" s="62"/>
    </row>
    <row r="26" spans="1:8" x14ac:dyDescent="0.2">
      <c r="A26" s="10" t="s">
        <v>550</v>
      </c>
      <c r="B26" s="10"/>
      <c r="C26" s="10"/>
      <c r="D26" s="10"/>
      <c r="E26" s="63"/>
      <c r="F26" s="10">
        <v>0</v>
      </c>
      <c r="G26" s="10"/>
      <c r="H26" s="10">
        <v>0</v>
      </c>
    </row>
    <row r="27" spans="1:8" x14ac:dyDescent="0.2">
      <c r="A27" s="10"/>
      <c r="B27" s="10"/>
      <c r="C27" s="10"/>
      <c r="D27" s="10"/>
      <c r="E27" s="63"/>
      <c r="F27" s="10"/>
      <c r="G27" s="10"/>
      <c r="H27" s="10"/>
    </row>
    <row r="28" spans="1:8" ht="13.5" thickBot="1" x14ac:dyDescent="0.25">
      <c r="A28" s="27" t="s">
        <v>549</v>
      </c>
      <c r="B28" s="27"/>
      <c r="C28" s="27"/>
      <c r="D28" s="27"/>
      <c r="E28" s="43"/>
      <c r="F28" s="25">
        <f>SUM(F24:F27)</f>
        <v>448822</v>
      </c>
      <c r="G28" s="27"/>
      <c r="H28" s="25">
        <f>SUM(H24:H27)</f>
        <v>-202125</v>
      </c>
    </row>
    <row r="29" spans="1:8" ht="13.5" thickTop="1" x14ac:dyDescent="0.2">
      <c r="E29" s="62"/>
    </row>
    <row r="30" spans="1:8" x14ac:dyDescent="0.2">
      <c r="A30" s="10"/>
      <c r="B30" s="10"/>
      <c r="C30" s="10"/>
      <c r="D30" s="10"/>
      <c r="E30" s="63"/>
      <c r="F30" s="10"/>
      <c r="G30" s="10"/>
      <c r="H30" s="10"/>
    </row>
    <row r="31" spans="1:8" x14ac:dyDescent="0.2">
      <c r="A31" s="10"/>
      <c r="B31" s="10"/>
      <c r="C31" s="10"/>
      <c r="D31" s="10"/>
      <c r="E31" s="63"/>
      <c r="F31" s="10"/>
      <c r="G31" s="10"/>
      <c r="H31" s="10"/>
    </row>
    <row r="32" spans="1:8" x14ac:dyDescent="0.2">
      <c r="A32" s="50"/>
      <c r="B32" s="27"/>
      <c r="C32" s="27"/>
      <c r="D32" s="27"/>
      <c r="E32" s="63"/>
      <c r="F32" s="27"/>
      <c r="G32" s="27"/>
      <c r="H32" s="27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/>
      <c r="C36" s="10"/>
      <c r="D36" s="10"/>
      <c r="E36" s="10"/>
      <c r="F36" s="10"/>
      <c r="G36" s="10"/>
      <c r="H36" s="65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0"/>
      <c r="C38" s="10"/>
      <c r="D38" s="10"/>
      <c r="E38" s="10"/>
      <c r="F38" s="10"/>
      <c r="G38" s="10"/>
      <c r="H38" s="65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 xml:space="preserve">&amp;CPage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L49" sqref="L49"/>
    </sheetView>
  </sheetViews>
  <sheetFormatPr defaultRowHeight="12.75" x14ac:dyDescent="0.2"/>
  <cols>
    <col min="3" max="3" width="10.5703125" customWidth="1"/>
    <col min="11" max="15" width="9.28515625" customWidth="1"/>
    <col min="17" max="17" width="10.140625" customWidth="1"/>
  </cols>
  <sheetData>
    <row r="1" spans="1:31" ht="15.75" x14ac:dyDescent="0.25">
      <c r="A1" s="2" t="s">
        <v>27</v>
      </c>
    </row>
    <row r="3" spans="1:31" ht="15.75" x14ac:dyDescent="0.25">
      <c r="A3" s="2" t="s">
        <v>400</v>
      </c>
      <c r="F3" s="2" t="str">
        <f>'Page 2a'!E3</f>
        <v>2019/20</v>
      </c>
    </row>
    <row r="5" spans="1:31" x14ac:dyDescent="0.2">
      <c r="D5" s="1" t="s">
        <v>1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42</v>
      </c>
      <c r="Q5" s="1" t="s">
        <v>3</v>
      </c>
    </row>
    <row r="6" spans="1:31" x14ac:dyDescent="0.2">
      <c r="A6" s="1" t="s">
        <v>63</v>
      </c>
    </row>
    <row r="7" spans="1:31" x14ac:dyDescent="0.2">
      <c r="A7" s="69" t="s">
        <v>283</v>
      </c>
      <c r="D7" s="5">
        <v>56700</v>
      </c>
      <c r="E7" s="5">
        <v>56700</v>
      </c>
      <c r="F7" s="5">
        <v>56700</v>
      </c>
      <c r="G7" s="5">
        <v>56700</v>
      </c>
      <c r="H7" s="5">
        <v>56700</v>
      </c>
      <c r="I7" s="5">
        <v>56700</v>
      </c>
      <c r="J7" s="5">
        <v>62700</v>
      </c>
      <c r="K7" s="5">
        <v>62700</v>
      </c>
      <c r="L7" s="5">
        <v>62700</v>
      </c>
      <c r="M7" s="5">
        <v>62700</v>
      </c>
      <c r="N7" s="5">
        <v>62700</v>
      </c>
      <c r="O7" s="5">
        <f>62700-100</f>
        <v>62600</v>
      </c>
      <c r="P7" s="5">
        <v>0</v>
      </c>
      <c r="Q7" s="72">
        <f t="shared" ref="Q7:Q16" si="0">SUM(D7:P7)</f>
        <v>716300</v>
      </c>
      <c r="R7" s="72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">
      <c r="A8" t="s">
        <v>0</v>
      </c>
      <c r="D8" s="5">
        <v>2700</v>
      </c>
      <c r="E8" s="5">
        <v>5700</v>
      </c>
      <c r="F8" s="5">
        <v>5700</v>
      </c>
      <c r="G8" s="5">
        <v>5700</v>
      </c>
      <c r="H8" s="5">
        <v>5700</v>
      </c>
      <c r="I8" s="5">
        <v>5700</v>
      </c>
      <c r="J8" s="5">
        <v>6300</v>
      </c>
      <c r="K8" s="5">
        <v>6300</v>
      </c>
      <c r="L8" s="5">
        <v>6300</v>
      </c>
      <c r="M8" s="5">
        <v>6300</v>
      </c>
      <c r="N8" s="5">
        <v>6300</v>
      </c>
      <c r="O8" s="5">
        <f>6300-100</f>
        <v>6200</v>
      </c>
      <c r="P8" s="5">
        <v>0</v>
      </c>
      <c r="Q8" s="72">
        <f>SUM(D8:P8)</f>
        <v>68900</v>
      </c>
      <c r="R8" s="7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">
      <c r="A9" s="69" t="s">
        <v>284</v>
      </c>
      <c r="B9" s="69"/>
      <c r="C9" s="69"/>
      <c r="D9" s="5">
        <v>4400</v>
      </c>
      <c r="E9" s="5">
        <v>4400</v>
      </c>
      <c r="F9" s="5">
        <v>4400</v>
      </c>
      <c r="G9" s="5">
        <v>4400</v>
      </c>
      <c r="H9" s="5">
        <v>4400</v>
      </c>
      <c r="I9" s="5">
        <v>4400</v>
      </c>
      <c r="J9" s="5">
        <v>5000</v>
      </c>
      <c r="K9" s="5">
        <v>5000</v>
      </c>
      <c r="L9" s="5">
        <v>5000</v>
      </c>
      <c r="M9" s="5">
        <v>5000</v>
      </c>
      <c r="N9" s="5">
        <v>5000</v>
      </c>
      <c r="O9" s="5">
        <v>4700</v>
      </c>
      <c r="P9" s="70">
        <v>0</v>
      </c>
      <c r="Q9" s="70">
        <f>SUM(D9:P9)</f>
        <v>56100</v>
      </c>
      <c r="R9" s="72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">
      <c r="A10" s="69" t="s">
        <v>285</v>
      </c>
      <c r="D10" s="6">
        <v>100</v>
      </c>
      <c r="E10" s="6">
        <v>100</v>
      </c>
      <c r="F10" s="6">
        <v>200</v>
      </c>
      <c r="G10" s="6">
        <v>100</v>
      </c>
      <c r="H10" s="6">
        <v>100</v>
      </c>
      <c r="I10" s="6">
        <v>200</v>
      </c>
      <c r="J10" s="6">
        <v>100</v>
      </c>
      <c r="K10" s="6">
        <v>100</v>
      </c>
      <c r="L10" s="6">
        <v>200</v>
      </c>
      <c r="M10" s="6">
        <v>100</v>
      </c>
      <c r="N10" s="6">
        <v>100</v>
      </c>
      <c r="O10" s="6">
        <v>300</v>
      </c>
      <c r="P10" s="6">
        <v>0</v>
      </c>
      <c r="Q10" s="73">
        <f t="shared" si="0"/>
        <v>1700</v>
      </c>
      <c r="R10" s="7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">
      <c r="D11" s="5">
        <f>SUM(D7:D10)</f>
        <v>63900</v>
      </c>
      <c r="E11" s="5">
        <f t="shared" ref="E11:O11" si="1">SUM(E7:E10)</f>
        <v>66900</v>
      </c>
      <c r="F11" s="5">
        <f t="shared" si="1"/>
        <v>67000</v>
      </c>
      <c r="G11" s="5">
        <f t="shared" si="1"/>
        <v>66900</v>
      </c>
      <c r="H11" s="5">
        <f t="shared" si="1"/>
        <v>66900</v>
      </c>
      <c r="I11" s="5">
        <f t="shared" si="1"/>
        <v>67000</v>
      </c>
      <c r="J11" s="5">
        <f t="shared" si="1"/>
        <v>74100</v>
      </c>
      <c r="K11" s="5">
        <f t="shared" si="1"/>
        <v>74100</v>
      </c>
      <c r="L11" s="5">
        <f t="shared" si="1"/>
        <v>74200</v>
      </c>
      <c r="M11" s="5">
        <f t="shared" si="1"/>
        <v>74100</v>
      </c>
      <c r="N11" s="5">
        <f t="shared" si="1"/>
        <v>74100</v>
      </c>
      <c r="O11" s="5">
        <f t="shared" si="1"/>
        <v>73800</v>
      </c>
      <c r="P11" s="5">
        <f>SUM(P7:P9)</f>
        <v>0</v>
      </c>
      <c r="Q11" s="5">
        <f>SUM(Q7:Q10)</f>
        <v>843000</v>
      </c>
      <c r="R11" s="7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69" t="s">
        <v>286</v>
      </c>
      <c r="D13" s="85">
        <v>2500</v>
      </c>
      <c r="E13" s="85">
        <v>2500</v>
      </c>
      <c r="F13" s="85">
        <v>2500</v>
      </c>
      <c r="G13" s="85">
        <v>2500</v>
      </c>
      <c r="H13" s="85">
        <v>2500</v>
      </c>
      <c r="I13" s="85">
        <v>2500</v>
      </c>
      <c r="J13" s="85">
        <v>2500</v>
      </c>
      <c r="K13" s="85">
        <v>2500</v>
      </c>
      <c r="L13" s="85">
        <v>2500</v>
      </c>
      <c r="M13" s="85">
        <v>2500</v>
      </c>
      <c r="N13" s="85">
        <v>2500</v>
      </c>
      <c r="O13" s="85">
        <v>2500</v>
      </c>
      <c r="P13" s="85">
        <v>0</v>
      </c>
      <c r="Q13" s="86">
        <f t="shared" si="0"/>
        <v>30000</v>
      </c>
      <c r="R13" s="7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69" t="s">
        <v>287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6">
        <f t="shared" si="0"/>
        <v>0</v>
      </c>
      <c r="R14" s="7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">
      <c r="A15" s="69" t="s">
        <v>288</v>
      </c>
      <c r="D15" s="85">
        <v>2400</v>
      </c>
      <c r="E15" s="85">
        <v>2400</v>
      </c>
      <c r="F15" s="85">
        <v>2400</v>
      </c>
      <c r="G15" s="85">
        <v>2400</v>
      </c>
      <c r="H15" s="85">
        <v>2400</v>
      </c>
      <c r="I15" s="85">
        <v>2400</v>
      </c>
      <c r="J15" s="85">
        <v>2400</v>
      </c>
      <c r="K15" s="85">
        <v>2400</v>
      </c>
      <c r="L15" s="85">
        <v>2400</v>
      </c>
      <c r="M15" s="85">
        <v>2400</v>
      </c>
      <c r="N15" s="85">
        <v>2400</v>
      </c>
      <c r="O15" s="85">
        <f>2400+200</f>
        <v>2600</v>
      </c>
      <c r="P15" s="85">
        <v>0</v>
      </c>
      <c r="Q15" s="86">
        <f t="shared" si="0"/>
        <v>29000</v>
      </c>
      <c r="R15" s="7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13"/>
      <c r="D16" s="81">
        <f t="shared" ref="D16:P16" si="2">SUM(D11:D15)</f>
        <v>68800</v>
      </c>
      <c r="E16" s="81">
        <f t="shared" si="2"/>
        <v>71800</v>
      </c>
      <c r="F16" s="81">
        <f t="shared" si="2"/>
        <v>71900</v>
      </c>
      <c r="G16" s="81">
        <f t="shared" si="2"/>
        <v>71800</v>
      </c>
      <c r="H16" s="81">
        <f t="shared" si="2"/>
        <v>71800</v>
      </c>
      <c r="I16" s="81">
        <f t="shared" si="2"/>
        <v>71900</v>
      </c>
      <c r="J16" s="7">
        <f t="shared" si="2"/>
        <v>79000</v>
      </c>
      <c r="K16" s="7">
        <f t="shared" si="2"/>
        <v>79000</v>
      </c>
      <c r="L16" s="7">
        <f t="shared" si="2"/>
        <v>79100</v>
      </c>
      <c r="M16" s="7">
        <f t="shared" si="2"/>
        <v>79000</v>
      </c>
      <c r="N16" s="7">
        <f t="shared" si="2"/>
        <v>79000</v>
      </c>
      <c r="O16" s="7">
        <f t="shared" si="2"/>
        <v>78900</v>
      </c>
      <c r="P16" s="7">
        <f t="shared" si="2"/>
        <v>0</v>
      </c>
      <c r="Q16" s="7">
        <f t="shared" si="0"/>
        <v>902000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x14ac:dyDescent="0.2">
      <c r="A17" s="1" t="s">
        <v>289</v>
      </c>
      <c r="D17" s="78"/>
      <c r="E17" s="78"/>
      <c r="F17" s="78"/>
      <c r="G17" s="78"/>
      <c r="H17" s="78"/>
      <c r="I17" s="78"/>
      <c r="R17" s="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x14ac:dyDescent="0.2">
      <c r="A18" s="69" t="s">
        <v>57</v>
      </c>
      <c r="D18" s="82">
        <v>26200</v>
      </c>
      <c r="E18" s="82">
        <v>31700</v>
      </c>
      <c r="F18" s="82">
        <v>33700</v>
      </c>
      <c r="G18" s="82">
        <v>30900</v>
      </c>
      <c r="H18" s="82">
        <v>31400</v>
      </c>
      <c r="I18" s="82">
        <v>35700</v>
      </c>
      <c r="J18" s="82">
        <v>32400</v>
      </c>
      <c r="K18" s="82">
        <v>32700</v>
      </c>
      <c r="L18" s="82">
        <v>35000</v>
      </c>
      <c r="M18" s="82">
        <v>36200</v>
      </c>
      <c r="N18" s="82">
        <v>35700</v>
      </c>
      <c r="O18" s="82">
        <f>35100+100</f>
        <v>35200</v>
      </c>
      <c r="P18" s="5">
        <v>0</v>
      </c>
      <c r="Q18" s="72">
        <f t="shared" ref="Q18:Q22" si="3">SUM(D18:P18)</f>
        <v>396800</v>
      </c>
      <c r="R18" s="72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x14ac:dyDescent="0.2">
      <c r="A19" s="69" t="s">
        <v>290</v>
      </c>
      <c r="D19" s="8">
        <v>20600</v>
      </c>
      <c r="E19" s="8">
        <v>19100</v>
      </c>
      <c r="F19" s="8">
        <v>26800</v>
      </c>
      <c r="G19" s="8">
        <v>20600</v>
      </c>
      <c r="H19" s="8">
        <v>19100</v>
      </c>
      <c r="I19" s="8">
        <v>26800</v>
      </c>
      <c r="J19" s="8">
        <v>20600</v>
      </c>
      <c r="K19" s="8">
        <v>15000</v>
      </c>
      <c r="L19" s="8">
        <v>22700</v>
      </c>
      <c r="M19" s="8">
        <v>11500</v>
      </c>
      <c r="N19" s="8">
        <v>10000</v>
      </c>
      <c r="O19" s="8">
        <f>19500-100</f>
        <v>19400</v>
      </c>
      <c r="P19" s="8">
        <v>0</v>
      </c>
      <c r="Q19" s="72">
        <f t="shared" si="3"/>
        <v>232200</v>
      </c>
      <c r="R19" s="72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x14ac:dyDescent="0.2">
      <c r="A20" s="69" t="s">
        <v>59</v>
      </c>
      <c r="D20" s="8">
        <v>41000</v>
      </c>
      <c r="E20" s="8">
        <v>0</v>
      </c>
      <c r="F20" s="8">
        <v>0</v>
      </c>
      <c r="G20" s="8">
        <v>0</v>
      </c>
      <c r="H20" s="8">
        <v>0</v>
      </c>
      <c r="I20" s="8">
        <v>15000</v>
      </c>
      <c r="J20" s="8">
        <v>0</v>
      </c>
      <c r="K20" s="8">
        <v>0</v>
      </c>
      <c r="L20" s="8">
        <v>17600</v>
      </c>
      <c r="M20" s="8">
        <v>0</v>
      </c>
      <c r="N20" s="8">
        <v>0</v>
      </c>
      <c r="O20" s="8">
        <v>17600</v>
      </c>
      <c r="P20" s="8">
        <v>0</v>
      </c>
      <c r="Q20" s="72">
        <f t="shared" si="3"/>
        <v>91200</v>
      </c>
      <c r="R20" s="72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x14ac:dyDescent="0.2">
      <c r="A21" s="69" t="s">
        <v>56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>('Page 2'!F14*1.5%)/2</f>
        <v>27270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>('Page 2'!F14*1.5%)/2</f>
        <v>27270</v>
      </c>
      <c r="P21" s="8">
        <v>0</v>
      </c>
      <c r="Q21" s="5">
        <f t="shared" si="3"/>
        <v>54540</v>
      </c>
      <c r="R21" s="72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x14ac:dyDescent="0.2">
      <c r="A22" s="69" t="s">
        <v>291</v>
      </c>
      <c r="B22" s="69"/>
      <c r="C22" s="69"/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965000</v>
      </c>
      <c r="Q22" s="72">
        <f t="shared" si="3"/>
        <v>965000</v>
      </c>
      <c r="R22" s="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x14ac:dyDescent="0.2">
      <c r="D23" s="81">
        <f t="shared" ref="D23:Q23" si="4">SUM(D18:D22)</f>
        <v>87800</v>
      </c>
      <c r="E23" s="81">
        <f t="shared" si="4"/>
        <v>50800</v>
      </c>
      <c r="F23" s="81">
        <f t="shared" si="4"/>
        <v>60500</v>
      </c>
      <c r="G23" s="81">
        <f t="shared" si="4"/>
        <v>51500</v>
      </c>
      <c r="H23" s="81">
        <f t="shared" si="4"/>
        <v>50500</v>
      </c>
      <c r="I23" s="81">
        <f t="shared" si="4"/>
        <v>104770</v>
      </c>
      <c r="J23" s="7">
        <f t="shared" si="4"/>
        <v>53000</v>
      </c>
      <c r="K23" s="7">
        <f t="shared" si="4"/>
        <v>47700</v>
      </c>
      <c r="L23" s="7">
        <f t="shared" si="4"/>
        <v>75300</v>
      </c>
      <c r="M23" s="7">
        <f t="shared" si="4"/>
        <v>47700</v>
      </c>
      <c r="N23" s="7">
        <f t="shared" si="4"/>
        <v>45700</v>
      </c>
      <c r="O23" s="7">
        <f t="shared" si="4"/>
        <v>99470</v>
      </c>
      <c r="P23" s="7">
        <f t="shared" si="4"/>
        <v>965000</v>
      </c>
      <c r="Q23" s="7">
        <f t="shared" si="4"/>
        <v>1739740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x14ac:dyDescent="0.2">
      <c r="A24" s="1" t="s">
        <v>292</v>
      </c>
      <c r="D24" s="78"/>
      <c r="E24" s="78"/>
      <c r="F24" s="78"/>
      <c r="G24" s="78"/>
      <c r="H24" s="78"/>
      <c r="I24" s="78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">
      <c r="A25" s="69" t="s">
        <v>293</v>
      </c>
      <c r="D25" s="8">
        <v>1000</v>
      </c>
      <c r="E25" s="8">
        <v>0</v>
      </c>
      <c r="F25" s="8">
        <v>1300</v>
      </c>
      <c r="G25" s="8">
        <v>0</v>
      </c>
      <c r="H25" s="8">
        <v>0</v>
      </c>
      <c r="I25" s="8">
        <f>1300+400</f>
        <v>1700</v>
      </c>
      <c r="J25" s="8">
        <v>2000</v>
      </c>
      <c r="K25" s="8">
        <v>0</v>
      </c>
      <c r="L25" s="8">
        <v>1300</v>
      </c>
      <c r="M25" s="8">
        <v>0</v>
      </c>
      <c r="N25" s="8">
        <v>0</v>
      </c>
      <c r="O25" s="8">
        <f>1300+400</f>
        <v>1700</v>
      </c>
      <c r="P25" s="8">
        <v>0</v>
      </c>
      <c r="Q25" s="86">
        <f t="shared" ref="Q25:Q46" si="5">SUM(D25:P25)</f>
        <v>9000</v>
      </c>
      <c r="R25" s="7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x14ac:dyDescent="0.2">
      <c r="A26" s="69" t="s">
        <v>294</v>
      </c>
      <c r="D26" s="8">
        <v>0</v>
      </c>
      <c r="E26" s="8">
        <v>0</v>
      </c>
      <c r="F26" s="8">
        <v>2000</v>
      </c>
      <c r="G26" s="8">
        <v>0</v>
      </c>
      <c r="H26" s="8">
        <v>0</v>
      </c>
      <c r="I26" s="8">
        <v>1000</v>
      </c>
      <c r="J26" s="8">
        <v>0</v>
      </c>
      <c r="K26" s="8">
        <v>0</v>
      </c>
      <c r="L26" s="8">
        <v>1000</v>
      </c>
      <c r="M26" s="8">
        <v>0</v>
      </c>
      <c r="N26" s="8">
        <v>0</v>
      </c>
      <c r="O26" s="8">
        <v>10500</v>
      </c>
      <c r="P26" s="8">
        <v>0</v>
      </c>
      <c r="Q26" s="86">
        <f t="shared" si="5"/>
        <v>14500</v>
      </c>
      <c r="R26" s="7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">
      <c r="A27" s="69" t="s">
        <v>295</v>
      </c>
      <c r="D27" s="8">
        <v>0</v>
      </c>
      <c r="E27" s="8">
        <v>0</v>
      </c>
      <c r="F27" s="8">
        <v>3750</v>
      </c>
      <c r="G27" s="8">
        <v>0</v>
      </c>
      <c r="H27" s="8">
        <v>0</v>
      </c>
      <c r="I27" s="8">
        <v>3750</v>
      </c>
      <c r="J27" s="8">
        <v>0</v>
      </c>
      <c r="K27" s="8">
        <v>0</v>
      </c>
      <c r="L27" s="8">
        <v>3750</v>
      </c>
      <c r="M27" s="8">
        <v>0</v>
      </c>
      <c r="N27" s="8">
        <v>0</v>
      </c>
      <c r="O27" s="8">
        <v>3750</v>
      </c>
      <c r="P27" s="8">
        <v>0</v>
      </c>
      <c r="Q27" s="86">
        <f t="shared" si="5"/>
        <v>15000</v>
      </c>
      <c r="R27" s="7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x14ac:dyDescent="0.2">
      <c r="A28" s="69" t="s">
        <v>483</v>
      </c>
      <c r="D28" s="8">
        <v>0</v>
      </c>
      <c r="E28" s="8">
        <v>0</v>
      </c>
      <c r="F28" s="8">
        <v>575</v>
      </c>
      <c r="G28" s="8">
        <v>0</v>
      </c>
      <c r="H28" s="8">
        <v>0</v>
      </c>
      <c r="I28" s="8">
        <v>575</v>
      </c>
      <c r="J28" s="8">
        <v>0</v>
      </c>
      <c r="K28" s="8">
        <v>0</v>
      </c>
      <c r="L28" s="8">
        <v>575</v>
      </c>
      <c r="M28" s="8">
        <v>0</v>
      </c>
      <c r="N28" s="8">
        <v>0</v>
      </c>
      <c r="O28" s="8">
        <v>575</v>
      </c>
      <c r="P28" s="8">
        <v>0</v>
      </c>
      <c r="Q28" s="86">
        <f t="shared" si="5"/>
        <v>2300</v>
      </c>
      <c r="R28" s="7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x14ac:dyDescent="0.2">
      <c r="A29" s="69" t="s">
        <v>296</v>
      </c>
      <c r="B29" s="69"/>
      <c r="C29" s="69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96">
        <v>29700</v>
      </c>
      <c r="Q29" s="86">
        <f t="shared" si="5"/>
        <v>29700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x14ac:dyDescent="0.2">
      <c r="A30" s="69" t="s">
        <v>297</v>
      </c>
      <c r="D30" s="8">
        <v>0</v>
      </c>
      <c r="E30" s="8">
        <v>0</v>
      </c>
      <c r="F30" s="8">
        <v>2500</v>
      </c>
      <c r="G30" s="8">
        <v>0</v>
      </c>
      <c r="H30" s="8">
        <v>0</v>
      </c>
      <c r="I30" s="8">
        <v>2500</v>
      </c>
      <c r="J30" s="8">
        <v>0</v>
      </c>
      <c r="K30" s="8">
        <v>0</v>
      </c>
      <c r="L30" s="8">
        <v>2500</v>
      </c>
      <c r="M30" s="8">
        <v>0</v>
      </c>
      <c r="N30" s="8">
        <v>0</v>
      </c>
      <c r="O30" s="8">
        <v>2700</v>
      </c>
      <c r="P30" s="8">
        <v>0</v>
      </c>
      <c r="Q30" s="86">
        <f t="shared" si="5"/>
        <v>10200</v>
      </c>
      <c r="R30" s="7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x14ac:dyDescent="0.2">
      <c r="A31" s="69" t="s">
        <v>298</v>
      </c>
      <c r="D31" s="8">
        <v>1400</v>
      </c>
      <c r="E31" s="8">
        <v>0</v>
      </c>
      <c r="F31" s="8">
        <f>4550+600-1400</f>
        <v>3750</v>
      </c>
      <c r="G31" s="8">
        <v>0</v>
      </c>
      <c r="H31" s="8">
        <v>400</v>
      </c>
      <c r="I31" s="8">
        <f>600+500</f>
        <v>1100</v>
      </c>
      <c r="J31" s="8">
        <v>0</v>
      </c>
      <c r="K31" s="8">
        <v>0</v>
      </c>
      <c r="L31" s="8">
        <f>600+825</f>
        <v>1425</v>
      </c>
      <c r="M31" s="8">
        <v>0</v>
      </c>
      <c r="N31" s="8">
        <v>825</v>
      </c>
      <c r="O31" s="8">
        <f>600+500</f>
        <v>1100</v>
      </c>
      <c r="P31" s="8">
        <v>0</v>
      </c>
      <c r="Q31" s="86">
        <f t="shared" si="5"/>
        <v>10000</v>
      </c>
      <c r="R31" s="7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x14ac:dyDescent="0.2">
      <c r="A32" s="69" t="s">
        <v>299</v>
      </c>
      <c r="D32" s="8">
        <v>0</v>
      </c>
      <c r="E32" s="8">
        <v>0</v>
      </c>
      <c r="F32" s="8">
        <v>3125</v>
      </c>
      <c r="G32" s="8">
        <v>0</v>
      </c>
      <c r="H32" s="8">
        <v>0</v>
      </c>
      <c r="I32" s="8">
        <v>3125</v>
      </c>
      <c r="J32" s="8">
        <v>0</v>
      </c>
      <c r="K32" s="8">
        <v>0</v>
      </c>
      <c r="L32" s="8">
        <v>3125</v>
      </c>
      <c r="M32" s="8">
        <v>0</v>
      </c>
      <c r="N32" s="8">
        <v>0</v>
      </c>
      <c r="O32" s="8">
        <v>3125</v>
      </c>
      <c r="P32" s="8">
        <v>0</v>
      </c>
      <c r="Q32" s="86">
        <f t="shared" si="5"/>
        <v>12500</v>
      </c>
      <c r="R32" s="7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x14ac:dyDescent="0.2">
      <c r="A33" s="69" t="s">
        <v>300</v>
      </c>
      <c r="D33" s="8">
        <v>14000</v>
      </c>
      <c r="E33" s="8">
        <v>0</v>
      </c>
      <c r="F33" s="8">
        <f>66000-14000</f>
        <v>52000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6">
        <f>SUM(D33:P33)</f>
        <v>66000</v>
      </c>
      <c r="R33" s="7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">
      <c r="A34" s="69" t="s">
        <v>301</v>
      </c>
      <c r="D34" s="8">
        <v>4200</v>
      </c>
      <c r="E34" s="8">
        <v>0</v>
      </c>
      <c r="F34" s="96">
        <f>16000-4200</f>
        <v>11800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6">
        <f t="shared" si="5"/>
        <v>16000</v>
      </c>
      <c r="R34" s="7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x14ac:dyDescent="0.2">
      <c r="A35" s="69" t="s">
        <v>302</v>
      </c>
      <c r="D35" s="8">
        <v>0</v>
      </c>
      <c r="E35" s="8">
        <v>0</v>
      </c>
      <c r="F35" s="8">
        <v>6250</v>
      </c>
      <c r="G35" s="8">
        <v>0</v>
      </c>
      <c r="H35" s="8">
        <v>0</v>
      </c>
      <c r="I35" s="8">
        <v>6250</v>
      </c>
      <c r="J35" s="8">
        <v>0</v>
      </c>
      <c r="K35" s="8">
        <v>0</v>
      </c>
      <c r="L35" s="8">
        <v>6250</v>
      </c>
      <c r="M35" s="8">
        <v>0</v>
      </c>
      <c r="N35" s="8">
        <v>0</v>
      </c>
      <c r="O35" s="8">
        <v>6250</v>
      </c>
      <c r="P35" s="8">
        <v>0</v>
      </c>
      <c r="Q35" s="86">
        <f>SUM(D35:P35)</f>
        <v>25000</v>
      </c>
      <c r="R35" s="7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x14ac:dyDescent="0.2">
      <c r="A36" s="69" t="s">
        <v>303</v>
      </c>
      <c r="D36" s="8">
        <v>0</v>
      </c>
      <c r="E36" s="8">
        <v>0</v>
      </c>
      <c r="F36" s="8">
        <v>1250</v>
      </c>
      <c r="G36" s="8">
        <v>0</v>
      </c>
      <c r="H36" s="8">
        <v>0</v>
      </c>
      <c r="I36" s="8">
        <v>1250</v>
      </c>
      <c r="J36" s="8">
        <v>0</v>
      </c>
      <c r="K36" s="8">
        <v>0</v>
      </c>
      <c r="L36" s="8">
        <v>1250</v>
      </c>
      <c r="M36" s="8">
        <v>0</v>
      </c>
      <c r="N36" s="8">
        <v>0</v>
      </c>
      <c r="O36" s="8">
        <v>1250</v>
      </c>
      <c r="P36" s="8">
        <v>0</v>
      </c>
      <c r="Q36" s="86">
        <f t="shared" si="5"/>
        <v>5000</v>
      </c>
      <c r="R36" s="7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x14ac:dyDescent="0.2">
      <c r="A37" s="69" t="s">
        <v>304</v>
      </c>
      <c r="D37" s="8">
        <f>5800</f>
        <v>5800</v>
      </c>
      <c r="E37" s="8">
        <v>0</v>
      </c>
      <c r="F37" s="8">
        <f>18600+2500</f>
        <v>21100</v>
      </c>
      <c r="G37" s="8">
        <v>0</v>
      </c>
      <c r="H37" s="8">
        <v>0</v>
      </c>
      <c r="I37" s="8">
        <f>1200+2500</f>
        <v>3700</v>
      </c>
      <c r="J37" s="8">
        <v>4200</v>
      </c>
      <c r="K37" s="8">
        <v>0</v>
      </c>
      <c r="L37" s="8">
        <f>1000+2500</f>
        <v>3500</v>
      </c>
      <c r="M37" s="8">
        <v>0</v>
      </c>
      <c r="N37" s="8">
        <v>0</v>
      </c>
      <c r="O37" s="8">
        <f>2500+200</f>
        <v>2700</v>
      </c>
      <c r="P37" s="8">
        <v>0</v>
      </c>
      <c r="Q37" s="86">
        <f t="shared" si="5"/>
        <v>41000</v>
      </c>
      <c r="R37" s="7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x14ac:dyDescent="0.2">
      <c r="A38" s="69" t="s">
        <v>305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250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250</v>
      </c>
      <c r="P38" s="8">
        <v>0</v>
      </c>
      <c r="Q38" s="86">
        <f t="shared" si="5"/>
        <v>500</v>
      </c>
      <c r="R38" s="7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x14ac:dyDescent="0.2">
      <c r="A39" s="69" t="s">
        <v>306</v>
      </c>
      <c r="D39" s="8">
        <v>0</v>
      </c>
      <c r="E39" s="8">
        <v>0</v>
      </c>
      <c r="F39" s="8">
        <v>1250</v>
      </c>
      <c r="G39" s="8">
        <v>0</v>
      </c>
      <c r="H39" s="8">
        <v>0</v>
      </c>
      <c r="I39" s="8">
        <v>1250</v>
      </c>
      <c r="J39" s="8">
        <v>0</v>
      </c>
      <c r="K39" s="8">
        <v>0</v>
      </c>
      <c r="L39" s="8">
        <v>1250</v>
      </c>
      <c r="M39" s="8">
        <v>0</v>
      </c>
      <c r="N39" s="8">
        <v>0</v>
      </c>
      <c r="O39" s="8">
        <v>1250</v>
      </c>
      <c r="P39" s="8">
        <v>0</v>
      </c>
      <c r="Q39" s="86">
        <f t="shared" si="5"/>
        <v>5000</v>
      </c>
      <c r="R39" s="7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A40" s="69" t="s">
        <v>307</v>
      </c>
      <c r="D40" s="8">
        <v>0</v>
      </c>
      <c r="E40" s="8">
        <v>0</v>
      </c>
      <c r="F40" s="8">
        <v>1750</v>
      </c>
      <c r="G40" s="8">
        <v>0</v>
      </c>
      <c r="H40" s="8">
        <v>0</v>
      </c>
      <c r="I40" s="8">
        <v>1750</v>
      </c>
      <c r="J40" s="8">
        <v>0</v>
      </c>
      <c r="K40" s="8">
        <v>0</v>
      </c>
      <c r="L40" s="8">
        <v>1750</v>
      </c>
      <c r="M40" s="8">
        <v>0</v>
      </c>
      <c r="N40" s="8">
        <v>0</v>
      </c>
      <c r="O40" s="8">
        <v>1750</v>
      </c>
      <c r="P40" s="8">
        <v>0</v>
      </c>
      <c r="Q40" s="86">
        <f t="shared" si="5"/>
        <v>7000</v>
      </c>
      <c r="R40" s="7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A41" s="69" t="s">
        <v>308</v>
      </c>
      <c r="D41" s="8">
        <v>0</v>
      </c>
      <c r="E41" s="8">
        <v>0</v>
      </c>
      <c r="F41" s="8">
        <v>500</v>
      </c>
      <c r="G41" s="8">
        <v>0</v>
      </c>
      <c r="H41" s="8">
        <v>0</v>
      </c>
      <c r="I41" s="8">
        <v>500</v>
      </c>
      <c r="J41" s="8">
        <v>0</v>
      </c>
      <c r="K41" s="8">
        <v>0</v>
      </c>
      <c r="L41" s="8">
        <v>500</v>
      </c>
      <c r="M41" s="8">
        <v>0</v>
      </c>
      <c r="N41" s="8">
        <v>0</v>
      </c>
      <c r="O41" s="8">
        <v>500</v>
      </c>
      <c r="P41" s="8">
        <v>0</v>
      </c>
      <c r="Q41" s="86">
        <f t="shared" si="5"/>
        <v>2000</v>
      </c>
      <c r="R41" s="7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A42" s="69" t="s">
        <v>309</v>
      </c>
      <c r="D42" s="8">
        <f>4800</f>
        <v>4800</v>
      </c>
      <c r="E42" s="8">
        <v>0</v>
      </c>
      <c r="F42" s="8">
        <v>1900</v>
      </c>
      <c r="G42" s="8">
        <v>0</v>
      </c>
      <c r="H42" s="8">
        <v>0</v>
      </c>
      <c r="I42" s="8">
        <v>800</v>
      </c>
      <c r="J42" s="8">
        <v>800</v>
      </c>
      <c r="K42" s="8">
        <v>0</v>
      </c>
      <c r="L42" s="8">
        <v>0</v>
      </c>
      <c r="M42" s="8">
        <v>7900</v>
      </c>
      <c r="N42" s="8">
        <v>0</v>
      </c>
      <c r="O42" s="8">
        <v>0</v>
      </c>
      <c r="P42" s="8">
        <v>0</v>
      </c>
      <c r="Q42" s="86">
        <f t="shared" si="5"/>
        <v>16200</v>
      </c>
      <c r="R42" s="7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x14ac:dyDescent="0.2">
      <c r="A43" s="69" t="s">
        <v>310</v>
      </c>
      <c r="D43" s="8">
        <v>10000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6">
        <f t="shared" si="5"/>
        <v>10000</v>
      </c>
      <c r="R43" s="7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A44" s="69" t="s">
        <v>311</v>
      </c>
      <c r="D44" s="8">
        <f>100+1000</f>
        <v>1100</v>
      </c>
      <c r="E44" s="8">
        <f>100</f>
        <v>100</v>
      </c>
      <c r="F44" s="8">
        <f>100+2300</f>
        <v>2400</v>
      </c>
      <c r="G44" s="8">
        <f>100</f>
        <v>100</v>
      </c>
      <c r="H44" s="8">
        <f>100</f>
        <v>100</v>
      </c>
      <c r="I44" s="8">
        <f>100+2300</f>
        <v>2400</v>
      </c>
      <c r="J44" s="8">
        <f>100</f>
        <v>100</v>
      </c>
      <c r="K44" s="8">
        <f>100</f>
        <v>100</v>
      </c>
      <c r="L44" s="8">
        <f>100+2300</f>
        <v>2400</v>
      </c>
      <c r="M44" s="8">
        <f>100</f>
        <v>100</v>
      </c>
      <c r="N44" s="8">
        <f>100</f>
        <v>100</v>
      </c>
      <c r="O44" s="8">
        <f>100+200+2300</f>
        <v>2600</v>
      </c>
      <c r="P44" s="8"/>
      <c r="Q44" s="86">
        <f t="shared" si="5"/>
        <v>11600</v>
      </c>
      <c r="R44" s="7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A45" s="69" t="s">
        <v>312</v>
      </c>
      <c r="D45" s="8">
        <v>0</v>
      </c>
      <c r="E45" s="8">
        <v>0</v>
      </c>
      <c r="F45" s="8">
        <f>1000+800</f>
        <v>1800</v>
      </c>
      <c r="G45" s="8">
        <v>0</v>
      </c>
      <c r="H45" s="8">
        <v>0</v>
      </c>
      <c r="I45" s="8">
        <f>1000+800</f>
        <v>1800</v>
      </c>
      <c r="J45" s="8">
        <f>2800+600</f>
        <v>3400</v>
      </c>
      <c r="K45" s="8">
        <v>0</v>
      </c>
      <c r="L45" s="8">
        <f>1000+800</f>
        <v>1800</v>
      </c>
      <c r="M45" s="8">
        <v>0</v>
      </c>
      <c r="N45" s="8">
        <v>0</v>
      </c>
      <c r="O45" s="8">
        <f>1000+1500+800+900</f>
        <v>4200</v>
      </c>
      <c r="P45" s="8">
        <v>0</v>
      </c>
      <c r="Q45" s="86">
        <f t="shared" si="5"/>
        <v>13000</v>
      </c>
      <c r="R45" s="7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A46" s="69" t="s">
        <v>313</v>
      </c>
      <c r="D46" s="8">
        <v>0</v>
      </c>
      <c r="E46" s="8">
        <v>0</v>
      </c>
      <c r="F46" s="8">
        <f>1250</f>
        <v>1250</v>
      </c>
      <c r="G46" s="8">
        <v>0</v>
      </c>
      <c r="H46" s="8">
        <v>0</v>
      </c>
      <c r="I46" s="8">
        <f>1250+2000+2000+500</f>
        <v>5750</v>
      </c>
      <c r="J46" s="8">
        <v>2000</v>
      </c>
      <c r="K46" s="8">
        <v>0</v>
      </c>
      <c r="L46" s="8">
        <f>1250</f>
        <v>1250</v>
      </c>
      <c r="M46" s="8">
        <v>0</v>
      </c>
      <c r="N46" s="8">
        <v>0</v>
      </c>
      <c r="O46" s="8">
        <f>1250</f>
        <v>1250</v>
      </c>
      <c r="P46" s="8">
        <v>0</v>
      </c>
      <c r="Q46" s="86">
        <f t="shared" si="5"/>
        <v>11500</v>
      </c>
      <c r="R46" s="7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x14ac:dyDescent="0.2">
      <c r="D47" s="7">
        <f t="shared" ref="D47:P47" si="6">SUM(D25:D46)</f>
        <v>42300</v>
      </c>
      <c r="E47" s="7">
        <f t="shared" si="6"/>
        <v>100</v>
      </c>
      <c r="F47" s="7">
        <f t="shared" si="6"/>
        <v>120250</v>
      </c>
      <c r="G47" s="7">
        <f t="shared" si="6"/>
        <v>100</v>
      </c>
      <c r="H47" s="7">
        <f t="shared" si="6"/>
        <v>500</v>
      </c>
      <c r="I47" s="7">
        <f t="shared" si="6"/>
        <v>39450</v>
      </c>
      <c r="J47" s="7">
        <f t="shared" si="6"/>
        <v>12500</v>
      </c>
      <c r="K47" s="7">
        <f t="shared" si="6"/>
        <v>100</v>
      </c>
      <c r="L47" s="7">
        <f t="shared" si="6"/>
        <v>33625</v>
      </c>
      <c r="M47" s="7">
        <f t="shared" si="6"/>
        <v>8000</v>
      </c>
      <c r="N47" s="7">
        <f t="shared" si="6"/>
        <v>925</v>
      </c>
      <c r="O47" s="7">
        <f t="shared" si="6"/>
        <v>45450</v>
      </c>
      <c r="P47" s="7">
        <f t="shared" si="6"/>
        <v>29700</v>
      </c>
      <c r="Q47" s="106">
        <f>SUM(Q25:Q46)</f>
        <v>333000</v>
      </c>
      <c r="R47" s="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x14ac:dyDescent="0.2">
      <c r="A48" s="1" t="s">
        <v>202</v>
      </c>
      <c r="Q48" s="77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x14ac:dyDescent="0.2">
      <c r="A49" s="69" t="s">
        <v>314</v>
      </c>
      <c r="D49" s="8">
        <v>300</v>
      </c>
      <c r="E49" s="8">
        <v>0</v>
      </c>
      <c r="F49">
        <f>2000+3500</f>
        <v>5500</v>
      </c>
      <c r="G49" s="8">
        <v>0</v>
      </c>
      <c r="H49" s="8">
        <v>0</v>
      </c>
      <c r="I49">
        <f>2000+4000</f>
        <v>6000</v>
      </c>
      <c r="J49" s="8">
        <v>0</v>
      </c>
      <c r="K49" s="8">
        <v>0</v>
      </c>
      <c r="L49">
        <f>2000</f>
        <v>2000</v>
      </c>
      <c r="M49" s="8">
        <v>0</v>
      </c>
      <c r="N49" s="8">
        <v>0</v>
      </c>
      <c r="O49" s="8">
        <f>2200+2500</f>
        <v>4700</v>
      </c>
      <c r="P49" s="8">
        <v>0</v>
      </c>
      <c r="Q49" s="86">
        <f>SUM(D49:P49)</f>
        <v>18500</v>
      </c>
      <c r="R49" s="79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x14ac:dyDescent="0.2">
      <c r="A50" s="69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1200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1300</v>
      </c>
      <c r="P50" s="8">
        <v>0</v>
      </c>
      <c r="Q50" s="86">
        <f>SUM(D50:P50)</f>
        <v>2500</v>
      </c>
      <c r="R50" s="79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x14ac:dyDescent="0.2">
      <c r="A51" s="69" t="s">
        <v>61</v>
      </c>
      <c r="D51" s="8">
        <v>163700</v>
      </c>
      <c r="E51" s="8">
        <v>217600</v>
      </c>
      <c r="F51" s="8">
        <v>229700</v>
      </c>
      <c r="G51" s="8">
        <v>52600</v>
      </c>
      <c r="H51" s="8">
        <v>2700</v>
      </c>
      <c r="I51" s="8">
        <v>2600</v>
      </c>
      <c r="J51" s="8">
        <v>1700</v>
      </c>
      <c r="K51" s="8">
        <v>1600</v>
      </c>
      <c r="L51" s="8">
        <v>1700</v>
      </c>
      <c r="M51" s="8">
        <v>1600</v>
      </c>
      <c r="N51" s="8">
        <v>1700</v>
      </c>
      <c r="O51" s="8">
        <v>1600</v>
      </c>
      <c r="P51" s="8">
        <v>0</v>
      </c>
      <c r="Q51" s="86">
        <f>SUM(D51:P51)</f>
        <v>678800</v>
      </c>
      <c r="R51" s="79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x14ac:dyDescent="0.2">
      <c r="D52" s="7">
        <f t="shared" ref="D52:Q52" si="7">SUM(D49:D51)</f>
        <v>164000</v>
      </c>
      <c r="E52" s="7">
        <f t="shared" si="7"/>
        <v>217600</v>
      </c>
      <c r="F52" s="7">
        <f t="shared" si="7"/>
        <v>235200</v>
      </c>
      <c r="G52" s="7">
        <f t="shared" si="7"/>
        <v>52600</v>
      </c>
      <c r="H52" s="7">
        <f t="shared" si="7"/>
        <v>2700</v>
      </c>
      <c r="I52" s="7">
        <f t="shared" si="7"/>
        <v>9800</v>
      </c>
      <c r="J52" s="7">
        <f t="shared" si="7"/>
        <v>1700</v>
      </c>
      <c r="K52" s="7">
        <f t="shared" si="7"/>
        <v>1600</v>
      </c>
      <c r="L52" s="7">
        <f t="shared" si="7"/>
        <v>3700</v>
      </c>
      <c r="M52" s="7">
        <f t="shared" si="7"/>
        <v>1600</v>
      </c>
      <c r="N52" s="7">
        <f t="shared" si="7"/>
        <v>1700</v>
      </c>
      <c r="O52" s="7">
        <f t="shared" si="7"/>
        <v>7600</v>
      </c>
      <c r="P52" s="7">
        <f t="shared" si="7"/>
        <v>0</v>
      </c>
      <c r="Q52" s="74">
        <f t="shared" si="7"/>
        <v>699800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x14ac:dyDescent="0.2">
      <c r="Q53" s="69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Q54" s="75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3.5" thickBot="1" x14ac:dyDescent="0.25">
      <c r="A55" t="s">
        <v>3</v>
      </c>
      <c r="D55" s="9">
        <f t="shared" ref="D55:Q55" si="8">D16+D23+D47+D52</f>
        <v>362900</v>
      </c>
      <c r="E55" s="9">
        <f t="shared" si="8"/>
        <v>340300</v>
      </c>
      <c r="F55" s="9">
        <f t="shared" si="8"/>
        <v>487850</v>
      </c>
      <c r="G55" s="9">
        <f t="shared" si="8"/>
        <v>176000</v>
      </c>
      <c r="H55" s="9">
        <f t="shared" si="8"/>
        <v>125500</v>
      </c>
      <c r="I55" s="9">
        <f t="shared" si="8"/>
        <v>225920</v>
      </c>
      <c r="J55" s="9">
        <f t="shared" si="8"/>
        <v>146200</v>
      </c>
      <c r="K55" s="9">
        <f t="shared" si="8"/>
        <v>128400</v>
      </c>
      <c r="L55" s="9">
        <f t="shared" si="8"/>
        <v>191725</v>
      </c>
      <c r="M55" s="9">
        <f t="shared" si="8"/>
        <v>136300</v>
      </c>
      <c r="N55" s="9">
        <f t="shared" si="8"/>
        <v>127325</v>
      </c>
      <c r="O55" s="9">
        <f t="shared" si="8"/>
        <v>231420</v>
      </c>
      <c r="P55" s="9">
        <f t="shared" si="8"/>
        <v>994700</v>
      </c>
      <c r="Q55" s="76">
        <f t="shared" si="8"/>
        <v>3674540</v>
      </c>
      <c r="R55" s="5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3.5" thickTop="1" x14ac:dyDescent="0.2">
      <c r="R56" s="5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Q57" s="10"/>
      <c r="R57" s="5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>
    <oddFooter>&amp;CPage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workbookViewId="0">
      <pane xSplit="4" ySplit="6" topLeftCell="E25" activePane="bottomRight" state="frozen"/>
      <selection activeCell="G32" sqref="G32"/>
      <selection pane="topRight" activeCell="G32" sqref="G32"/>
      <selection pane="bottomLeft" activeCell="G32" sqref="G32"/>
      <selection pane="bottomRight" activeCell="N44" sqref="N44"/>
    </sheetView>
  </sheetViews>
  <sheetFormatPr defaultRowHeight="12.75" x14ac:dyDescent="0.2"/>
  <cols>
    <col min="4" max="5" width="10.5703125" customWidth="1"/>
    <col min="11" max="11" width="10.28515625" customWidth="1"/>
  </cols>
  <sheetData>
    <row r="1" spans="1:19" ht="15.75" x14ac:dyDescent="0.25">
      <c r="A1" s="2" t="s">
        <v>27</v>
      </c>
    </row>
    <row r="3" spans="1:19" ht="15.75" x14ac:dyDescent="0.25">
      <c r="A3" s="2" t="s">
        <v>400</v>
      </c>
      <c r="F3" s="2" t="str">
        <f>'Page 6'!F3</f>
        <v>2019/20</v>
      </c>
    </row>
    <row r="5" spans="1:19" x14ac:dyDescent="0.2">
      <c r="F5" s="1" t="s">
        <v>161</v>
      </c>
      <c r="G5" s="1" t="s">
        <v>19</v>
      </c>
      <c r="H5" s="1" t="s">
        <v>133</v>
      </c>
      <c r="I5" s="1" t="s">
        <v>16</v>
      </c>
      <c r="J5" s="1" t="s">
        <v>17</v>
      </c>
      <c r="K5" s="1" t="s">
        <v>18</v>
      </c>
      <c r="L5" s="1" t="s">
        <v>23</v>
      </c>
      <c r="M5" s="1" t="s">
        <v>91</v>
      </c>
      <c r="N5" s="1" t="s">
        <v>45</v>
      </c>
      <c r="O5" s="1" t="s">
        <v>21</v>
      </c>
      <c r="P5" s="1" t="s">
        <v>135</v>
      </c>
      <c r="Q5" s="1" t="s">
        <v>15</v>
      </c>
      <c r="R5" s="1" t="s">
        <v>588</v>
      </c>
      <c r="S5" s="1" t="s">
        <v>179</v>
      </c>
    </row>
    <row r="6" spans="1:19" x14ac:dyDescent="0.2">
      <c r="A6" s="1" t="s">
        <v>63</v>
      </c>
      <c r="F6" s="1" t="s">
        <v>162</v>
      </c>
      <c r="G6" s="1" t="s">
        <v>20</v>
      </c>
      <c r="H6" s="1" t="s">
        <v>134</v>
      </c>
      <c r="I6" s="1"/>
      <c r="J6" s="1"/>
      <c r="K6" s="1"/>
      <c r="L6" s="1" t="s">
        <v>24</v>
      </c>
      <c r="M6" s="1"/>
      <c r="N6" s="1"/>
      <c r="O6" s="1" t="s">
        <v>22</v>
      </c>
      <c r="P6" s="1"/>
      <c r="Q6" s="1"/>
      <c r="R6" s="1" t="s">
        <v>589</v>
      </c>
    </row>
    <row r="7" spans="1:19" x14ac:dyDescent="0.2">
      <c r="A7" s="69" t="s">
        <v>283</v>
      </c>
      <c r="D7" s="5">
        <f>'Page 6'!Q7</f>
        <v>716300</v>
      </c>
      <c r="F7" s="5">
        <f>756400-37500</f>
        <v>718900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86600</v>
      </c>
      <c r="O7" s="5">
        <v>0</v>
      </c>
      <c r="P7" s="5">
        <v>0</v>
      </c>
      <c r="Q7" s="5">
        <v>0</v>
      </c>
      <c r="R7" s="5">
        <v>37500</v>
      </c>
      <c r="S7" s="5">
        <v>0</v>
      </c>
    </row>
    <row r="8" spans="1:19" x14ac:dyDescent="0.2">
      <c r="A8" t="s">
        <v>0</v>
      </c>
      <c r="D8" s="5">
        <f>'Page 6'!Q8</f>
        <v>68900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>
        <v>0</v>
      </c>
    </row>
    <row r="9" spans="1:19" x14ac:dyDescent="0.2">
      <c r="A9" s="69" t="s">
        <v>284</v>
      </c>
      <c r="B9" s="100"/>
      <c r="C9" s="100"/>
      <c r="D9" s="70">
        <f>'Page 6'!Q9</f>
        <v>56100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>
        <v>0</v>
      </c>
    </row>
    <row r="10" spans="1:19" x14ac:dyDescent="0.2">
      <c r="A10" s="69" t="s">
        <v>285</v>
      </c>
      <c r="D10" s="6">
        <f>'Page 6'!Q10</f>
        <v>1700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4">
        <v>0</v>
      </c>
    </row>
    <row r="11" spans="1:19" x14ac:dyDescent="0.2">
      <c r="A11" s="13"/>
      <c r="D11" s="5">
        <f>SUM(D7:D10)</f>
        <v>843000</v>
      </c>
      <c r="E11" s="5">
        <f>SUM(F11:S11)</f>
        <v>843000</v>
      </c>
      <c r="F11" s="5">
        <f t="shared" ref="F11:S11" si="0">SUM(F7:F10)</f>
        <v>718900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86600</v>
      </c>
      <c r="O11" s="5">
        <v>0</v>
      </c>
      <c r="P11" s="5">
        <f t="shared" si="0"/>
        <v>0</v>
      </c>
      <c r="Q11" s="5">
        <v>0</v>
      </c>
      <c r="R11" s="5">
        <f t="shared" si="0"/>
        <v>37500</v>
      </c>
      <c r="S11" s="5">
        <f t="shared" si="0"/>
        <v>0</v>
      </c>
    </row>
    <row r="12" spans="1:19" x14ac:dyDescent="0.2">
      <c r="A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 x14ac:dyDescent="0.2">
      <c r="A13" s="69" t="s">
        <v>286</v>
      </c>
      <c r="D13" s="5">
        <f>'Page 6'!Q13</f>
        <v>30000</v>
      </c>
      <c r="F13" s="5">
        <f>D13</f>
        <v>30000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9" x14ac:dyDescent="0.2">
      <c r="A14" s="69" t="s">
        <v>287</v>
      </c>
      <c r="D14" s="5">
        <f>'Page 6'!Q14</f>
        <v>0</v>
      </c>
      <c r="F14" s="5">
        <f>D14</f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9" x14ac:dyDescent="0.2">
      <c r="A15" s="69" t="s">
        <v>288</v>
      </c>
      <c r="D15" s="5">
        <f>'Page 6'!Q15</f>
        <v>29000</v>
      </c>
      <c r="F15" s="5">
        <f>D15</f>
        <v>29000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x14ac:dyDescent="0.2">
      <c r="A16" s="13"/>
      <c r="D16" s="7">
        <f>SUM(D11:D15)</f>
        <v>902000</v>
      </c>
      <c r="E16" s="5">
        <f>SUM(F16:S16)</f>
        <v>902000</v>
      </c>
      <c r="F16" s="7">
        <f t="shared" ref="F16:S16" si="1">SUM(F11:F15)</f>
        <v>777900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86600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37500</v>
      </c>
      <c r="S16" s="7">
        <f t="shared" si="1"/>
        <v>0</v>
      </c>
    </row>
    <row r="17" spans="1:19" x14ac:dyDescent="0.2">
      <c r="A17" s="1" t="s">
        <v>289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9" x14ac:dyDescent="0.2">
      <c r="A18" s="69" t="s">
        <v>57</v>
      </c>
      <c r="D18" s="5">
        <f>'Page 6'!Q18</f>
        <v>396800</v>
      </c>
      <c r="F18" s="5">
        <v>0</v>
      </c>
      <c r="G18" s="5">
        <v>0</v>
      </c>
      <c r="H18" s="5">
        <v>0</v>
      </c>
      <c r="I18" s="5">
        <f>D18</f>
        <v>396800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</row>
    <row r="19" spans="1:19" x14ac:dyDescent="0.2">
      <c r="A19" s="69" t="s">
        <v>290</v>
      </c>
      <c r="D19" s="5">
        <f>'Page 6'!Q19</f>
        <v>232200</v>
      </c>
      <c r="F19" s="5">
        <v>0</v>
      </c>
      <c r="G19" s="5">
        <v>0</v>
      </c>
      <c r="H19" s="5">
        <v>0</v>
      </c>
      <c r="I19" s="5">
        <v>0</v>
      </c>
      <c r="J19" s="5">
        <f>D19</f>
        <v>232200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</row>
    <row r="20" spans="1:19" x14ac:dyDescent="0.2">
      <c r="A20" s="69" t="s">
        <v>59</v>
      </c>
      <c r="D20" s="5">
        <f>'Page 6'!Q20</f>
        <v>91200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>D20</f>
        <v>91200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</row>
    <row r="21" spans="1:19" x14ac:dyDescent="0.2">
      <c r="A21" s="69" t="s">
        <v>56</v>
      </c>
      <c r="D21" s="5">
        <f>'Page 6'!Q21</f>
        <v>54540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>D21</f>
        <v>54540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x14ac:dyDescent="0.2">
      <c r="A22" s="69" t="s">
        <v>291</v>
      </c>
      <c r="B22" s="69"/>
      <c r="C22" s="69"/>
      <c r="D22" s="72">
        <f>'Page 6'!Q22</f>
        <v>965000</v>
      </c>
      <c r="E22" s="72"/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f>D22</f>
        <v>965000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</row>
    <row r="23" spans="1:19" x14ac:dyDescent="0.2">
      <c r="D23" s="7">
        <f>SUM(D18:D22)</f>
        <v>1739740</v>
      </c>
      <c r="E23" s="5">
        <f>SUM(F23:S23)</f>
        <v>1739740</v>
      </c>
      <c r="F23" s="7">
        <f t="shared" ref="F23:S23" si="2">SUM(F18:F22)</f>
        <v>0</v>
      </c>
      <c r="G23" s="7">
        <f t="shared" si="2"/>
        <v>0</v>
      </c>
      <c r="H23" s="7">
        <f t="shared" si="2"/>
        <v>0</v>
      </c>
      <c r="I23" s="7">
        <f t="shared" si="2"/>
        <v>396800</v>
      </c>
      <c r="J23" s="7">
        <f t="shared" si="2"/>
        <v>232200</v>
      </c>
      <c r="K23" s="7">
        <f t="shared" si="2"/>
        <v>91200</v>
      </c>
      <c r="L23" s="7">
        <f t="shared" si="2"/>
        <v>54540</v>
      </c>
      <c r="M23" s="7">
        <f t="shared" si="2"/>
        <v>965000</v>
      </c>
      <c r="N23" s="7">
        <f t="shared" si="2"/>
        <v>0</v>
      </c>
      <c r="O23" s="7">
        <f t="shared" si="2"/>
        <v>0</v>
      </c>
      <c r="P23" s="7">
        <f t="shared" si="2"/>
        <v>0</v>
      </c>
      <c r="Q23" s="7">
        <f t="shared" si="2"/>
        <v>0</v>
      </c>
      <c r="R23" s="7">
        <f t="shared" si="2"/>
        <v>0</v>
      </c>
      <c r="S23" s="7">
        <f t="shared" si="2"/>
        <v>0</v>
      </c>
    </row>
    <row r="24" spans="1:19" x14ac:dyDescent="0.2">
      <c r="A24" s="1" t="s">
        <v>292</v>
      </c>
    </row>
    <row r="25" spans="1:19" x14ac:dyDescent="0.2">
      <c r="A25" s="69" t="s">
        <v>293</v>
      </c>
      <c r="D25" s="5">
        <f>'Page 6'!Q25</f>
        <v>9000</v>
      </c>
      <c r="E25" s="5">
        <f t="shared" ref="E25:E46" si="3">SUM(F25:S25)</f>
        <v>9000</v>
      </c>
      <c r="F25" s="5">
        <f>D25</f>
        <v>9000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8">
        <v>0</v>
      </c>
    </row>
    <row r="26" spans="1:19" x14ac:dyDescent="0.2">
      <c r="A26" s="69" t="s">
        <v>294</v>
      </c>
      <c r="D26" s="5">
        <f>'Page 6'!Q26</f>
        <v>14500</v>
      </c>
      <c r="E26" s="5">
        <f t="shared" si="3"/>
        <v>14500</v>
      </c>
      <c r="F26" s="5">
        <f>D26</f>
        <v>14500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</row>
    <row r="27" spans="1:19" x14ac:dyDescent="0.2">
      <c r="A27" s="69" t="s">
        <v>295</v>
      </c>
      <c r="D27" s="5">
        <f>'Page 6'!Q27</f>
        <v>15000</v>
      </c>
      <c r="E27" s="5">
        <f t="shared" si="3"/>
        <v>15000</v>
      </c>
      <c r="F27" s="5">
        <f>D27</f>
        <v>15000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x14ac:dyDescent="0.2">
      <c r="A28" s="69" t="s">
        <v>483</v>
      </c>
      <c r="D28" s="5">
        <f>'Page 6'!Q28</f>
        <v>2300</v>
      </c>
      <c r="E28" s="5">
        <f t="shared" si="3"/>
        <v>2300</v>
      </c>
      <c r="F28" s="5">
        <f>D28</f>
        <v>2300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x14ac:dyDescent="0.2">
      <c r="A29" s="69" t="s">
        <v>296</v>
      </c>
      <c r="B29" s="69"/>
      <c r="C29" s="69"/>
      <c r="D29" s="72">
        <f>'Page 6'!Q29</f>
        <v>29700</v>
      </c>
      <c r="E29" s="72">
        <f t="shared" si="3"/>
        <v>29700</v>
      </c>
      <c r="F29" s="72">
        <f>D29</f>
        <v>29700</v>
      </c>
      <c r="G29" s="72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x14ac:dyDescent="0.2">
      <c r="A30" s="69" t="s">
        <v>297</v>
      </c>
      <c r="D30" s="5">
        <f>'Page 6'!Q30</f>
        <v>10200</v>
      </c>
      <c r="E30" s="5">
        <f t="shared" si="3"/>
        <v>10200</v>
      </c>
      <c r="F30" s="5">
        <f>D30*92.5%</f>
        <v>9435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>D30*7.5%</f>
        <v>765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</row>
    <row r="31" spans="1:19" x14ac:dyDescent="0.2">
      <c r="A31" s="69" t="s">
        <v>298</v>
      </c>
      <c r="D31" s="5">
        <f>'Page 6'!Q31</f>
        <v>10000</v>
      </c>
      <c r="E31" s="5">
        <f t="shared" si="3"/>
        <v>10000</v>
      </c>
      <c r="F31" s="5">
        <f>D31</f>
        <v>10000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</row>
    <row r="32" spans="1:19" x14ac:dyDescent="0.2">
      <c r="A32" s="69" t="s">
        <v>299</v>
      </c>
      <c r="D32" s="5">
        <f>'Page 6'!Q32</f>
        <v>12500</v>
      </c>
      <c r="E32" s="5">
        <f t="shared" si="3"/>
        <v>12500</v>
      </c>
      <c r="F32" s="5">
        <f>D32*92.5%</f>
        <v>11562.5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>D32*7.5%</f>
        <v>937.5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x14ac:dyDescent="0.2">
      <c r="A33" s="69" t="s">
        <v>300</v>
      </c>
      <c r="D33" s="5">
        <f>'Page 6'!Q33</f>
        <v>66000</v>
      </c>
      <c r="E33" s="5">
        <f t="shared" si="3"/>
        <v>66000</v>
      </c>
      <c r="F33" s="5">
        <f>D33</f>
        <v>66000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x14ac:dyDescent="0.2">
      <c r="A34" s="69" t="s">
        <v>301</v>
      </c>
      <c r="D34" s="5">
        <f>'Page 6'!Q34</f>
        <v>16000</v>
      </c>
      <c r="E34" s="5">
        <f t="shared" si="3"/>
        <v>16000</v>
      </c>
      <c r="F34" s="5">
        <f>D34</f>
        <v>16000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x14ac:dyDescent="0.2">
      <c r="A35" s="69" t="s">
        <v>302</v>
      </c>
      <c r="D35" s="5">
        <f>'Page 6'!Q35</f>
        <v>25000</v>
      </c>
      <c r="E35" s="5">
        <f t="shared" si="3"/>
        <v>25000</v>
      </c>
      <c r="F35" s="5">
        <f>D35</f>
        <v>25000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</row>
    <row r="36" spans="1:19" x14ac:dyDescent="0.2">
      <c r="A36" s="69" t="s">
        <v>303</v>
      </c>
      <c r="D36" s="5">
        <f>'Page 6'!Q36</f>
        <v>5000</v>
      </c>
      <c r="E36" s="5">
        <f t="shared" si="3"/>
        <v>5000</v>
      </c>
      <c r="F36" s="5">
        <f>D36</f>
        <v>5000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1:19" x14ac:dyDescent="0.2">
      <c r="A37" s="69" t="s">
        <v>304</v>
      </c>
      <c r="D37" s="5">
        <f>'Page 6'!Q37</f>
        <v>41000</v>
      </c>
      <c r="E37" s="5">
        <f t="shared" si="3"/>
        <v>41000</v>
      </c>
      <c r="F37" s="5">
        <f>D37*92.5%</f>
        <v>37925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>D37*7.5%</f>
        <v>3075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x14ac:dyDescent="0.2">
      <c r="A38" s="69" t="s">
        <v>305</v>
      </c>
      <c r="D38" s="5">
        <f>'Page 6'!Q38</f>
        <v>500</v>
      </c>
      <c r="E38" s="5">
        <f t="shared" si="3"/>
        <v>500</v>
      </c>
      <c r="F38" s="5">
        <f>D38</f>
        <v>500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x14ac:dyDescent="0.2">
      <c r="A39" s="69" t="s">
        <v>306</v>
      </c>
      <c r="D39" s="5">
        <f>'Page 6'!Q39</f>
        <v>5000</v>
      </c>
      <c r="E39" s="5">
        <f t="shared" si="3"/>
        <v>5000</v>
      </c>
      <c r="F39" s="5">
        <f>D39*92.5%</f>
        <v>4625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>D39*7.5%</f>
        <v>375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</row>
    <row r="40" spans="1:19" x14ac:dyDescent="0.2">
      <c r="A40" s="69" t="s">
        <v>307</v>
      </c>
      <c r="D40" s="5">
        <f>'Page 6'!Q40</f>
        <v>7000</v>
      </c>
      <c r="E40" s="5">
        <f t="shared" si="3"/>
        <v>7000</v>
      </c>
      <c r="F40" s="5">
        <f>D40*92.5%</f>
        <v>6475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>D40*7.5%</f>
        <v>525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x14ac:dyDescent="0.2">
      <c r="A41" s="69" t="s">
        <v>308</v>
      </c>
      <c r="D41" s="5">
        <f>'Page 6'!Q41</f>
        <v>2000</v>
      </c>
      <c r="E41" s="5">
        <f t="shared" si="3"/>
        <v>2000</v>
      </c>
      <c r="F41" s="5">
        <f>D41*92.5%</f>
        <v>1850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>D41*7.5%</f>
        <v>150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x14ac:dyDescent="0.2">
      <c r="A42" s="69" t="s">
        <v>309</v>
      </c>
      <c r="D42" s="5">
        <f>'Page 6'!Q42</f>
        <v>16200</v>
      </c>
      <c r="E42" s="5">
        <f t="shared" si="3"/>
        <v>16200</v>
      </c>
      <c r="F42" s="5">
        <f>D42</f>
        <v>16200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</row>
    <row r="43" spans="1:19" x14ac:dyDescent="0.2">
      <c r="A43" s="69" t="s">
        <v>310</v>
      </c>
      <c r="D43" s="5">
        <f>'Page 6'!Q43</f>
        <v>10000</v>
      </c>
      <c r="E43" s="5">
        <f t="shared" si="3"/>
        <v>10000</v>
      </c>
      <c r="F43" s="5">
        <f>D43</f>
        <v>10000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</row>
    <row r="44" spans="1:19" x14ac:dyDescent="0.2">
      <c r="A44" s="69" t="s">
        <v>311</v>
      </c>
      <c r="D44" s="5">
        <f>'Page 6'!Q44</f>
        <v>11600</v>
      </c>
      <c r="E44" s="5">
        <f t="shared" si="3"/>
        <v>11600</v>
      </c>
      <c r="F44" s="5">
        <f>D44*92.5%</f>
        <v>10730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>D44*7.5%</f>
        <v>870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</row>
    <row r="45" spans="1:19" x14ac:dyDescent="0.2">
      <c r="A45" s="69" t="s">
        <v>312</v>
      </c>
      <c r="D45" s="5">
        <f>'Page 6'!Q45</f>
        <v>13000</v>
      </c>
      <c r="E45" s="5">
        <f t="shared" si="3"/>
        <v>13000</v>
      </c>
      <c r="F45" s="5">
        <f>D45</f>
        <v>13000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x14ac:dyDescent="0.2">
      <c r="A46" s="69" t="s">
        <v>313</v>
      </c>
      <c r="D46" s="5">
        <f>'Page 6'!Q46</f>
        <v>11500</v>
      </c>
      <c r="E46" s="5">
        <f t="shared" si="3"/>
        <v>11500</v>
      </c>
      <c r="F46" s="5">
        <f>D46</f>
        <v>11500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</row>
    <row r="47" spans="1:19" x14ac:dyDescent="0.2">
      <c r="D47" s="7">
        <f>SUM(D25:D46)</f>
        <v>333000</v>
      </c>
      <c r="E47" s="5">
        <f>SUM(F47:S47)</f>
        <v>333000</v>
      </c>
      <c r="F47" s="7">
        <f>SUM(F25:F46)</f>
        <v>326302.5</v>
      </c>
      <c r="G47" s="7">
        <f t="shared" ref="G47:M47" si="4">SUM(G25:G46)</f>
        <v>0</v>
      </c>
      <c r="H47" s="7">
        <f t="shared" si="4"/>
        <v>0</v>
      </c>
      <c r="I47" s="7">
        <f t="shared" si="4"/>
        <v>0</v>
      </c>
      <c r="J47" s="7">
        <f t="shared" si="4"/>
        <v>0</v>
      </c>
      <c r="K47" s="7">
        <f t="shared" si="4"/>
        <v>0</v>
      </c>
      <c r="L47" s="7">
        <f t="shared" si="4"/>
        <v>0</v>
      </c>
      <c r="M47" s="7">
        <f t="shared" si="4"/>
        <v>0</v>
      </c>
      <c r="N47" s="7">
        <f t="shared" ref="N47:S47" si="5">SUM(N25:N46)</f>
        <v>6697.5</v>
      </c>
      <c r="O47" s="7">
        <f t="shared" si="5"/>
        <v>0</v>
      </c>
      <c r="P47" s="7">
        <f t="shared" si="5"/>
        <v>0</v>
      </c>
      <c r="Q47" s="7">
        <f t="shared" si="5"/>
        <v>0</v>
      </c>
      <c r="R47" s="7">
        <f t="shared" si="5"/>
        <v>0</v>
      </c>
      <c r="S47" s="7">
        <f t="shared" si="5"/>
        <v>0</v>
      </c>
    </row>
    <row r="48" spans="1:19" x14ac:dyDescent="0.2">
      <c r="A48" s="1" t="s">
        <v>202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9" x14ac:dyDescent="0.2">
      <c r="A49" s="69" t="s">
        <v>314</v>
      </c>
      <c r="D49" s="5">
        <f>'Page 6'!Q49</f>
        <v>18500</v>
      </c>
      <c r="F49" s="5">
        <f>D49</f>
        <v>18500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</row>
    <row r="50" spans="1:19" x14ac:dyDescent="0.2">
      <c r="A50" s="69" t="s">
        <v>60</v>
      </c>
      <c r="D50" s="5">
        <f>'Page 6'!Q50</f>
        <v>2500</v>
      </c>
      <c r="F50" s="5">
        <v>0</v>
      </c>
      <c r="G50" s="5">
        <f>D50</f>
        <v>2500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</row>
    <row r="51" spans="1:19" x14ac:dyDescent="0.2">
      <c r="A51" s="69" t="s">
        <v>61</v>
      </c>
      <c r="D51" s="5">
        <f>'Page 6'!Q51</f>
        <v>678800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f>D51</f>
        <v>678800</v>
      </c>
      <c r="P51" s="5">
        <v>0</v>
      </c>
      <c r="Q51" s="5">
        <v>0</v>
      </c>
      <c r="R51" s="5">
        <v>0</v>
      </c>
      <c r="S51" s="5">
        <v>0</v>
      </c>
    </row>
    <row r="52" spans="1:19" x14ac:dyDescent="0.2">
      <c r="D52" s="7">
        <f>SUM(D49:D51)</f>
        <v>699800</v>
      </c>
      <c r="E52" s="5">
        <f>SUM(F52:S52)</f>
        <v>699800</v>
      </c>
      <c r="F52" s="7">
        <f t="shared" ref="F52:S52" si="6">SUM(F49:F51)</f>
        <v>18500</v>
      </c>
      <c r="G52" s="7">
        <f t="shared" si="6"/>
        <v>2500</v>
      </c>
      <c r="H52" s="7">
        <f t="shared" si="6"/>
        <v>0</v>
      </c>
      <c r="I52" s="7">
        <f t="shared" si="6"/>
        <v>0</v>
      </c>
      <c r="J52" s="7">
        <f t="shared" si="6"/>
        <v>0</v>
      </c>
      <c r="K52" s="7">
        <f t="shared" si="6"/>
        <v>0</v>
      </c>
      <c r="L52" s="7">
        <f t="shared" si="6"/>
        <v>0</v>
      </c>
      <c r="M52" s="7">
        <f t="shared" si="6"/>
        <v>0</v>
      </c>
      <c r="N52" s="7">
        <f t="shared" si="6"/>
        <v>0</v>
      </c>
      <c r="O52" s="7">
        <f t="shared" si="6"/>
        <v>678800</v>
      </c>
      <c r="P52" s="7">
        <f t="shared" si="6"/>
        <v>0</v>
      </c>
      <c r="Q52" s="7">
        <f t="shared" si="6"/>
        <v>0</v>
      </c>
      <c r="R52" s="7">
        <f t="shared" si="6"/>
        <v>0</v>
      </c>
      <c r="S52" s="7">
        <f t="shared" si="6"/>
        <v>0</v>
      </c>
    </row>
    <row r="53" spans="1:19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9" x14ac:dyDescent="0.2">
      <c r="D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9" ht="13.5" thickBot="1" x14ac:dyDescent="0.25">
      <c r="A55" t="s">
        <v>3</v>
      </c>
      <c r="D55" s="9">
        <f>D52+D47+D23+D16</f>
        <v>3674540</v>
      </c>
      <c r="E55" s="5">
        <f>SUM(F55:S55)</f>
        <v>3674540</v>
      </c>
      <c r="F55" s="9">
        <f>F16+F23+F47+F52</f>
        <v>1122702.5</v>
      </c>
      <c r="G55" s="9">
        <f t="shared" ref="G55:S55" si="7">G16+G23+G47+G52</f>
        <v>2500</v>
      </c>
      <c r="H55" s="9">
        <f t="shared" si="7"/>
        <v>0</v>
      </c>
      <c r="I55" s="9">
        <f t="shared" si="7"/>
        <v>396800</v>
      </c>
      <c r="J55" s="9">
        <f t="shared" si="7"/>
        <v>232200</v>
      </c>
      <c r="K55" s="9">
        <f t="shared" si="7"/>
        <v>91200</v>
      </c>
      <c r="L55" s="9">
        <f t="shared" si="7"/>
        <v>54540</v>
      </c>
      <c r="M55" s="9">
        <f t="shared" si="7"/>
        <v>965000</v>
      </c>
      <c r="N55" s="9">
        <f t="shared" si="7"/>
        <v>93297.5</v>
      </c>
      <c r="O55" s="9">
        <f t="shared" si="7"/>
        <v>678800</v>
      </c>
      <c r="P55" s="9">
        <f t="shared" si="7"/>
        <v>0</v>
      </c>
      <c r="Q55" s="9">
        <f t="shared" si="7"/>
        <v>0</v>
      </c>
      <c r="R55" s="9">
        <f t="shared" si="7"/>
        <v>37500</v>
      </c>
      <c r="S55" s="9">
        <f t="shared" si="7"/>
        <v>0</v>
      </c>
    </row>
    <row r="56" spans="1:19" ht="13.5" thickTop="1" x14ac:dyDescent="0.2"/>
    <row r="57" spans="1:19" x14ac:dyDescent="0.2">
      <c r="E57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>
    <oddFooter>&amp;CPage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workbookViewId="0">
      <pane xSplit="3" ySplit="5" topLeftCell="D6" activePane="bottomRight" state="frozen"/>
      <selection activeCell="G32" sqref="G32"/>
      <selection pane="topRight" activeCell="G32" sqref="G32"/>
      <selection pane="bottomLeft" activeCell="G32" sqref="G32"/>
      <selection pane="bottomRight" activeCell="R19" sqref="R19:R21"/>
    </sheetView>
  </sheetViews>
  <sheetFormatPr defaultRowHeight="12.75" x14ac:dyDescent="0.2"/>
  <cols>
    <col min="1" max="16384" width="9.140625" style="5"/>
  </cols>
  <sheetData>
    <row r="1" spans="1:21" ht="15.75" x14ac:dyDescent="0.25">
      <c r="A1" s="39" t="s">
        <v>28</v>
      </c>
    </row>
    <row r="3" spans="1:21" ht="15.75" x14ac:dyDescent="0.25">
      <c r="A3" s="39" t="s">
        <v>29</v>
      </c>
      <c r="B3" s="39"/>
      <c r="C3" s="39"/>
      <c r="F3" s="39" t="str">
        <f>'Page 7'!F3</f>
        <v>2019/20</v>
      </c>
      <c r="G3" s="61"/>
    </row>
    <row r="5" spans="1:21" x14ac:dyDescent="0.2">
      <c r="E5" s="22" t="s">
        <v>1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  <c r="P5" s="22" t="s">
        <v>14</v>
      </c>
      <c r="Q5" s="22"/>
      <c r="R5" s="22" t="s">
        <v>3</v>
      </c>
    </row>
    <row r="6" spans="1:21" x14ac:dyDescent="0.2">
      <c r="A6" s="22" t="s">
        <v>315</v>
      </c>
    </row>
    <row r="7" spans="1:21" x14ac:dyDescent="0.2">
      <c r="A7" s="72" t="s">
        <v>316</v>
      </c>
      <c r="B7" s="72"/>
      <c r="C7" s="72"/>
      <c r="E7" s="82">
        <v>305000</v>
      </c>
      <c r="F7" s="82">
        <v>305000</v>
      </c>
      <c r="G7" s="82">
        <v>305000</v>
      </c>
      <c r="H7" s="82">
        <v>305000</v>
      </c>
      <c r="I7" s="82">
        <v>305000</v>
      </c>
      <c r="J7" s="82">
        <v>306200</v>
      </c>
      <c r="K7" s="82">
        <v>306200</v>
      </c>
      <c r="L7" s="82">
        <v>306200</v>
      </c>
      <c r="M7" s="82">
        <v>306200</v>
      </c>
      <c r="N7" s="82">
        <v>306200</v>
      </c>
      <c r="O7" s="82">
        <v>306200</v>
      </c>
      <c r="P7" s="82">
        <f>306200+300</f>
        <v>306500</v>
      </c>
      <c r="Q7" s="5">
        <v>0</v>
      </c>
      <c r="R7" s="5">
        <f t="shared" ref="R7:R12" si="0">SUM(E7:Q7)</f>
        <v>3668700</v>
      </c>
    </row>
    <row r="8" spans="1:21" x14ac:dyDescent="0.2">
      <c r="A8" s="72" t="s">
        <v>317</v>
      </c>
      <c r="B8" s="72"/>
      <c r="C8" s="72"/>
      <c r="E8" s="84">
        <v>300</v>
      </c>
      <c r="F8" s="84">
        <v>300</v>
      </c>
      <c r="G8" s="84">
        <v>400</v>
      </c>
      <c r="H8" s="84">
        <v>300</v>
      </c>
      <c r="I8" s="84">
        <v>300</v>
      </c>
      <c r="J8" s="84">
        <v>400</v>
      </c>
      <c r="K8" s="84">
        <v>300</v>
      </c>
      <c r="L8" s="84">
        <v>300</v>
      </c>
      <c r="M8" s="84">
        <v>400</v>
      </c>
      <c r="N8" s="84">
        <v>300</v>
      </c>
      <c r="O8" s="84">
        <v>300</v>
      </c>
      <c r="P8" s="84">
        <v>400</v>
      </c>
      <c r="Q8" s="6">
        <v>0</v>
      </c>
      <c r="R8" s="6">
        <f t="shared" si="0"/>
        <v>4000</v>
      </c>
    </row>
    <row r="9" spans="1:21" x14ac:dyDescent="0.2">
      <c r="A9" s="72"/>
      <c r="B9" s="72"/>
      <c r="C9" s="72"/>
      <c r="E9" s="82">
        <f>SUM(E7:E8)</f>
        <v>305300</v>
      </c>
      <c r="F9" s="82">
        <f t="shared" ref="F9:Q9" si="1">SUM(F7:F8)</f>
        <v>305300</v>
      </c>
      <c r="G9" s="82">
        <f t="shared" si="1"/>
        <v>305400</v>
      </c>
      <c r="H9" s="82">
        <f t="shared" si="1"/>
        <v>305300</v>
      </c>
      <c r="I9" s="82">
        <f t="shared" si="1"/>
        <v>305300</v>
      </c>
      <c r="J9" s="82">
        <f t="shared" si="1"/>
        <v>306600</v>
      </c>
      <c r="K9" s="82">
        <f t="shared" si="1"/>
        <v>306500</v>
      </c>
      <c r="L9" s="82">
        <f t="shared" si="1"/>
        <v>306500</v>
      </c>
      <c r="M9" s="82">
        <f t="shared" si="1"/>
        <v>306600</v>
      </c>
      <c r="N9" s="82">
        <f t="shared" si="1"/>
        <v>306500</v>
      </c>
      <c r="O9" s="82">
        <f t="shared" si="1"/>
        <v>306500</v>
      </c>
      <c r="P9" s="82">
        <f t="shared" si="1"/>
        <v>306900</v>
      </c>
      <c r="Q9" s="82">
        <f t="shared" si="1"/>
        <v>0</v>
      </c>
      <c r="R9" s="5">
        <f>SUM(R7:R8)</f>
        <v>3672700</v>
      </c>
    </row>
    <row r="10" spans="1:21" x14ac:dyDescent="0.2">
      <c r="A10" s="22" t="s">
        <v>53</v>
      </c>
      <c r="B10" s="72"/>
      <c r="C10" s="7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21" x14ac:dyDescent="0.2">
      <c r="A11" s="72" t="s">
        <v>316</v>
      </c>
      <c r="B11" s="72"/>
      <c r="C11" s="72"/>
      <c r="E11" s="82">
        <f>-3056</f>
        <v>-3056</v>
      </c>
      <c r="F11" s="82">
        <f t="shared" ref="F11:O11" si="2">-3056</f>
        <v>-3056</v>
      </c>
      <c r="G11" s="82">
        <f t="shared" si="2"/>
        <v>-3056</v>
      </c>
      <c r="H11" s="82">
        <f t="shared" si="2"/>
        <v>-3056</v>
      </c>
      <c r="I11" s="82">
        <f t="shared" si="2"/>
        <v>-3056</v>
      </c>
      <c r="J11" s="82">
        <f t="shared" si="2"/>
        <v>-3056</v>
      </c>
      <c r="K11" s="82">
        <f t="shared" si="2"/>
        <v>-3056</v>
      </c>
      <c r="L11" s="82">
        <f t="shared" si="2"/>
        <v>-3056</v>
      </c>
      <c r="M11" s="82">
        <f t="shared" si="2"/>
        <v>-3056</v>
      </c>
      <c r="N11" s="82">
        <f t="shared" si="2"/>
        <v>-3056</v>
      </c>
      <c r="O11" s="82">
        <f t="shared" si="2"/>
        <v>-3056</v>
      </c>
      <c r="P11" s="82">
        <f>-3056-28</f>
        <v>-3084</v>
      </c>
      <c r="Q11" s="5">
        <v>0</v>
      </c>
      <c r="R11" s="5">
        <f>SUM(E11:Q11)</f>
        <v>-36700</v>
      </c>
      <c r="T11" s="32"/>
      <c r="U11" s="32"/>
    </row>
    <row r="12" spans="1:21" x14ac:dyDescent="0.2">
      <c r="A12" s="72" t="s">
        <v>317</v>
      </c>
      <c r="B12" s="72"/>
      <c r="C12" s="72"/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5">
        <v>0</v>
      </c>
      <c r="R12" s="6">
        <f t="shared" si="0"/>
        <v>0</v>
      </c>
    </row>
    <row r="13" spans="1:21" ht="13.5" thickBot="1" x14ac:dyDescent="0.25">
      <c r="A13" s="72"/>
      <c r="B13" s="72"/>
      <c r="C13" s="72"/>
      <c r="E13" s="104">
        <f>SUM(E9:E12)</f>
        <v>302244</v>
      </c>
      <c r="F13" s="104">
        <f t="shared" ref="F13:Q13" si="3">SUM(F9:F12)</f>
        <v>302244</v>
      </c>
      <c r="G13" s="104">
        <f t="shared" si="3"/>
        <v>302344</v>
      </c>
      <c r="H13" s="104">
        <f t="shared" si="3"/>
        <v>302244</v>
      </c>
      <c r="I13" s="104">
        <f t="shared" si="3"/>
        <v>302244</v>
      </c>
      <c r="J13" s="104">
        <f t="shared" si="3"/>
        <v>303544</v>
      </c>
      <c r="K13" s="104">
        <f t="shared" si="3"/>
        <v>303444</v>
      </c>
      <c r="L13" s="104">
        <f t="shared" si="3"/>
        <v>303444</v>
      </c>
      <c r="M13" s="104">
        <f t="shared" si="3"/>
        <v>303544</v>
      </c>
      <c r="N13" s="104">
        <f t="shared" si="3"/>
        <v>303444</v>
      </c>
      <c r="O13" s="104">
        <f t="shared" si="3"/>
        <v>303444</v>
      </c>
      <c r="P13" s="104">
        <f t="shared" si="3"/>
        <v>303816</v>
      </c>
      <c r="Q13" s="104">
        <f t="shared" si="3"/>
        <v>0</v>
      </c>
      <c r="R13" s="98">
        <f>SUM(R9:R12)</f>
        <v>3636000</v>
      </c>
    </row>
    <row r="14" spans="1:21" x14ac:dyDescent="0.2">
      <c r="A14" s="22" t="s">
        <v>318</v>
      </c>
      <c r="B14" s="72"/>
      <c r="C14" s="7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21" x14ac:dyDescent="0.2">
      <c r="A15" s="72" t="s">
        <v>319</v>
      </c>
      <c r="B15" s="72"/>
      <c r="C15" s="72"/>
      <c r="E15" s="82">
        <v>0</v>
      </c>
      <c r="F15" s="82">
        <v>0</v>
      </c>
      <c r="G15" s="82">
        <v>11700</v>
      </c>
      <c r="H15" s="82">
        <v>0</v>
      </c>
      <c r="I15" s="82">
        <v>0</v>
      </c>
      <c r="J15" s="82">
        <v>11700</v>
      </c>
      <c r="K15" s="82">
        <v>0</v>
      </c>
      <c r="L15" s="82">
        <v>0</v>
      </c>
      <c r="M15" s="82">
        <v>11700</v>
      </c>
      <c r="N15" s="82">
        <v>0</v>
      </c>
      <c r="O15" s="82">
        <v>0</v>
      </c>
      <c r="P15" s="82">
        <v>11900</v>
      </c>
      <c r="Q15" s="5">
        <v>0</v>
      </c>
      <c r="R15" s="5">
        <f t="shared" ref="R15:R26" si="4">SUM(E15:Q15)</f>
        <v>47000</v>
      </c>
    </row>
    <row r="16" spans="1:21" x14ac:dyDescent="0.2">
      <c r="A16" s="72"/>
      <c r="B16" s="72"/>
      <c r="C16" s="72"/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5">
        <v>0</v>
      </c>
      <c r="R16" s="5">
        <f t="shared" si="4"/>
        <v>0</v>
      </c>
    </row>
    <row r="17" spans="1:19" ht="13.5" thickBot="1" x14ac:dyDescent="0.25">
      <c r="A17" s="72"/>
      <c r="B17" s="72"/>
      <c r="C17" s="72"/>
      <c r="E17" s="104">
        <f>SUM(E15:E16)</f>
        <v>0</v>
      </c>
      <c r="F17" s="104">
        <f t="shared" ref="F17:P17" si="5">SUM(F15:F16)</f>
        <v>0</v>
      </c>
      <c r="G17" s="104">
        <f t="shared" si="5"/>
        <v>11700</v>
      </c>
      <c r="H17" s="104">
        <f t="shared" si="5"/>
        <v>0</v>
      </c>
      <c r="I17" s="104">
        <f t="shared" si="5"/>
        <v>0</v>
      </c>
      <c r="J17" s="104">
        <f t="shared" si="5"/>
        <v>11700</v>
      </c>
      <c r="K17" s="104">
        <f t="shared" si="5"/>
        <v>0</v>
      </c>
      <c r="L17" s="104">
        <f t="shared" si="5"/>
        <v>0</v>
      </c>
      <c r="M17" s="104">
        <f t="shared" si="5"/>
        <v>11700</v>
      </c>
      <c r="N17" s="104">
        <f t="shared" si="5"/>
        <v>0</v>
      </c>
      <c r="O17" s="104">
        <f t="shared" si="5"/>
        <v>0</v>
      </c>
      <c r="P17" s="104">
        <f t="shared" si="5"/>
        <v>11900</v>
      </c>
      <c r="Q17" s="104">
        <f t="shared" ref="Q17" si="6">SUM(Q15:Q16)</f>
        <v>0</v>
      </c>
      <c r="R17" s="104">
        <f t="shared" ref="R17" si="7">SUM(R15:R16)</f>
        <v>47000</v>
      </c>
    </row>
    <row r="18" spans="1:19" x14ac:dyDescent="0.2">
      <c r="A18" s="22" t="s">
        <v>385</v>
      </c>
      <c r="B18" s="72"/>
      <c r="C18" s="7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9" x14ac:dyDescent="0.2">
      <c r="A19" s="72" t="s">
        <v>320</v>
      </c>
      <c r="B19" s="72"/>
      <c r="C19" s="72"/>
      <c r="E19" s="82">
        <v>4000</v>
      </c>
      <c r="F19" s="82">
        <v>4000</v>
      </c>
      <c r="G19" s="82">
        <v>4000</v>
      </c>
      <c r="H19" s="82">
        <v>4000</v>
      </c>
      <c r="I19" s="82">
        <v>4800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5">
        <v>0</v>
      </c>
      <c r="R19" s="5">
        <f t="shared" si="4"/>
        <v>20800</v>
      </c>
      <c r="S19" s="72"/>
    </row>
    <row r="20" spans="1:19" x14ac:dyDescent="0.2">
      <c r="A20" s="72" t="s">
        <v>579</v>
      </c>
      <c r="B20" s="72"/>
      <c r="C20" s="72"/>
      <c r="E20" s="82">
        <v>900</v>
      </c>
      <c r="F20" s="82">
        <v>900</v>
      </c>
      <c r="G20" s="82">
        <v>900</v>
      </c>
      <c r="H20" s="82">
        <v>900</v>
      </c>
      <c r="I20" s="82">
        <v>900</v>
      </c>
      <c r="J20" s="82">
        <v>900</v>
      </c>
      <c r="K20" s="82">
        <v>900</v>
      </c>
      <c r="L20" s="82">
        <v>900</v>
      </c>
      <c r="M20" s="82">
        <v>900</v>
      </c>
      <c r="N20" s="82">
        <v>900</v>
      </c>
      <c r="O20" s="82">
        <v>900</v>
      </c>
      <c r="P20" s="82">
        <v>1375</v>
      </c>
      <c r="Q20" s="5">
        <v>0</v>
      </c>
      <c r="R20" s="5">
        <f t="shared" si="4"/>
        <v>11275</v>
      </c>
      <c r="S20" s="72"/>
    </row>
    <row r="21" spans="1:19" x14ac:dyDescent="0.2">
      <c r="A21" s="72" t="s">
        <v>580</v>
      </c>
      <c r="B21" s="72"/>
      <c r="C21" s="72"/>
      <c r="E21" s="82">
        <v>900</v>
      </c>
      <c r="F21" s="82">
        <v>900</v>
      </c>
      <c r="G21" s="82">
        <v>900</v>
      </c>
      <c r="H21" s="82">
        <v>900</v>
      </c>
      <c r="I21" s="82">
        <v>900</v>
      </c>
      <c r="J21" s="82">
        <v>900</v>
      </c>
      <c r="K21" s="82">
        <v>900</v>
      </c>
      <c r="L21" s="82">
        <v>900</v>
      </c>
      <c r="M21" s="82">
        <v>900</v>
      </c>
      <c r="N21" s="82">
        <v>900</v>
      </c>
      <c r="O21" s="82">
        <v>900</v>
      </c>
      <c r="P21" s="82">
        <v>1375</v>
      </c>
      <c r="Q21" s="5">
        <v>0</v>
      </c>
      <c r="R21" s="5">
        <f t="shared" si="4"/>
        <v>11275</v>
      </c>
      <c r="S21" s="72"/>
    </row>
    <row r="22" spans="1:19" x14ac:dyDescent="0.2">
      <c r="A22" s="72" t="s">
        <v>321</v>
      </c>
      <c r="B22" s="72"/>
      <c r="C22" s="72"/>
      <c r="E22" s="82">
        <v>162000</v>
      </c>
      <c r="F22" s="82">
        <v>216000</v>
      </c>
      <c r="G22" s="82">
        <v>228000</v>
      </c>
      <c r="H22" s="82">
        <v>50000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5">
        <v>0</v>
      </c>
      <c r="R22" s="5">
        <f t="shared" si="4"/>
        <v>656000</v>
      </c>
      <c r="S22" s="72"/>
    </row>
    <row r="23" spans="1:19" x14ac:dyDescent="0.2">
      <c r="A23" s="72" t="s">
        <v>581</v>
      </c>
      <c r="B23" s="72"/>
      <c r="C23" s="72"/>
      <c r="E23" s="82">
        <v>0</v>
      </c>
      <c r="F23" s="82">
        <v>0</v>
      </c>
      <c r="G23" s="82">
        <v>0</v>
      </c>
      <c r="H23" s="82">
        <v>500</v>
      </c>
      <c r="I23" s="82">
        <v>500</v>
      </c>
      <c r="J23" s="82">
        <v>500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5">
        <v>0</v>
      </c>
      <c r="R23" s="5">
        <f t="shared" si="4"/>
        <v>1500</v>
      </c>
      <c r="S23" s="72"/>
    </row>
    <row r="24" spans="1:19" x14ac:dyDescent="0.2">
      <c r="A24" s="72" t="s">
        <v>578</v>
      </c>
      <c r="B24" s="72"/>
      <c r="C24" s="72"/>
      <c r="E24" s="82">
        <v>3125</v>
      </c>
      <c r="F24" s="82">
        <v>3125</v>
      </c>
      <c r="G24" s="82">
        <v>3125</v>
      </c>
      <c r="H24" s="82">
        <v>3125</v>
      </c>
      <c r="I24" s="82">
        <v>3125</v>
      </c>
      <c r="J24" s="82">
        <v>3125</v>
      </c>
      <c r="K24" s="82">
        <v>3125</v>
      </c>
      <c r="L24" s="82">
        <v>3125</v>
      </c>
      <c r="M24" s="82">
        <v>3125</v>
      </c>
      <c r="N24" s="82">
        <v>3125</v>
      </c>
      <c r="O24" s="82">
        <v>3125</v>
      </c>
      <c r="P24" s="82">
        <v>3125</v>
      </c>
      <c r="Q24" s="5">
        <v>0</v>
      </c>
      <c r="R24" s="5">
        <f t="shared" si="4"/>
        <v>37500</v>
      </c>
      <c r="S24" s="72"/>
    </row>
    <row r="25" spans="1:19" x14ac:dyDescent="0.2">
      <c r="A25" s="72"/>
      <c r="B25" s="72"/>
      <c r="C25" s="7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</row>
    <row r="26" spans="1:19" ht="13.5" thickBot="1" x14ac:dyDescent="0.25">
      <c r="A26" s="72"/>
      <c r="B26" s="72"/>
      <c r="C26" s="72"/>
      <c r="E26" s="104">
        <f>SUM(E19:E25)</f>
        <v>170925</v>
      </c>
      <c r="F26" s="104">
        <f t="shared" ref="F26:Q26" si="8">SUM(F19:F25)</f>
        <v>224925</v>
      </c>
      <c r="G26" s="104">
        <f t="shared" si="8"/>
        <v>236925</v>
      </c>
      <c r="H26" s="104">
        <f t="shared" si="8"/>
        <v>59425</v>
      </c>
      <c r="I26" s="104">
        <f t="shared" si="8"/>
        <v>10225</v>
      </c>
      <c r="J26" s="104">
        <f t="shared" si="8"/>
        <v>5425</v>
      </c>
      <c r="K26" s="104">
        <f t="shared" si="8"/>
        <v>4925</v>
      </c>
      <c r="L26" s="104">
        <f t="shared" si="8"/>
        <v>4925</v>
      </c>
      <c r="M26" s="104">
        <f t="shared" si="8"/>
        <v>4925</v>
      </c>
      <c r="N26" s="104">
        <f t="shared" si="8"/>
        <v>4925</v>
      </c>
      <c r="O26" s="104">
        <f t="shared" si="8"/>
        <v>4925</v>
      </c>
      <c r="P26" s="104">
        <f t="shared" si="8"/>
        <v>5875</v>
      </c>
      <c r="Q26" s="104">
        <f t="shared" si="8"/>
        <v>0</v>
      </c>
      <c r="R26" s="98">
        <f t="shared" si="4"/>
        <v>738350</v>
      </c>
    </row>
    <row r="27" spans="1:19" x14ac:dyDescent="0.2">
      <c r="A27" s="22" t="s">
        <v>322</v>
      </c>
      <c r="B27" s="72"/>
      <c r="C27" s="7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R27" s="10"/>
    </row>
    <row r="28" spans="1:19" x14ac:dyDescent="0.2">
      <c r="A28" s="72" t="s">
        <v>205</v>
      </c>
      <c r="B28" s="72"/>
      <c r="C28" s="72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5">
        <v>427100</v>
      </c>
      <c r="R28" s="10">
        <f>SUM(E28:Q28)</f>
        <v>427100</v>
      </c>
      <c r="S28" s="72"/>
    </row>
    <row r="29" spans="1:19" x14ac:dyDescent="0.2">
      <c r="A29" s="72" t="s">
        <v>227</v>
      </c>
      <c r="B29" s="72"/>
      <c r="C29" s="72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5">
        <v>12719</v>
      </c>
      <c r="R29" s="10">
        <f t="shared" ref="R29:R30" si="9">SUM(E29:Q29)</f>
        <v>12719</v>
      </c>
      <c r="S29" s="72"/>
    </row>
    <row r="30" spans="1:19" x14ac:dyDescent="0.2">
      <c r="A30" s="72" t="s">
        <v>226</v>
      </c>
      <c r="B30" s="72"/>
      <c r="C30" s="72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5">
        <v>0</v>
      </c>
      <c r="R30" s="10">
        <f t="shared" si="9"/>
        <v>0</v>
      </c>
    </row>
    <row r="31" spans="1:19" ht="13.5" thickBot="1" x14ac:dyDescent="0.25">
      <c r="A31" s="72"/>
      <c r="B31" s="72"/>
      <c r="C31" s="72"/>
      <c r="E31" s="104">
        <f>SUM(E28:E30)</f>
        <v>0</v>
      </c>
      <c r="F31" s="104">
        <f t="shared" ref="F31:R31" si="10">SUM(F28:F30)</f>
        <v>0</v>
      </c>
      <c r="G31" s="104">
        <f t="shared" si="10"/>
        <v>0</v>
      </c>
      <c r="H31" s="104">
        <f t="shared" si="10"/>
        <v>0</v>
      </c>
      <c r="I31" s="104">
        <f t="shared" si="10"/>
        <v>0</v>
      </c>
      <c r="J31" s="104">
        <f t="shared" si="10"/>
        <v>0</v>
      </c>
      <c r="K31" s="104">
        <f t="shared" si="10"/>
        <v>0</v>
      </c>
      <c r="L31" s="104">
        <f t="shared" si="10"/>
        <v>0</v>
      </c>
      <c r="M31" s="104">
        <f t="shared" si="10"/>
        <v>0</v>
      </c>
      <c r="N31" s="104">
        <f t="shared" si="10"/>
        <v>0</v>
      </c>
      <c r="O31" s="104">
        <f t="shared" si="10"/>
        <v>0</v>
      </c>
      <c r="P31" s="104">
        <f t="shared" si="10"/>
        <v>0</v>
      </c>
      <c r="Q31" s="104">
        <f t="shared" si="10"/>
        <v>439819</v>
      </c>
      <c r="R31" s="104">
        <f t="shared" si="10"/>
        <v>439819</v>
      </c>
    </row>
    <row r="32" spans="1:19" x14ac:dyDescent="0.2">
      <c r="A32" s="72"/>
      <c r="B32" s="72"/>
      <c r="C32" s="72"/>
      <c r="E32" s="8"/>
      <c r="F32" s="8"/>
      <c r="G32" s="8"/>
      <c r="H32" s="8"/>
      <c r="I32" s="8"/>
      <c r="J32" s="8"/>
      <c r="K32" s="10"/>
      <c r="L32" s="10"/>
      <c r="M32" s="10"/>
      <c r="N32" s="10"/>
      <c r="O32" s="10"/>
      <c r="P32" s="10"/>
      <c r="R32" s="10"/>
    </row>
    <row r="33" spans="1:18" x14ac:dyDescent="0.2">
      <c r="A33" s="72"/>
      <c r="B33" s="72"/>
      <c r="C33" s="72"/>
      <c r="E33" s="8"/>
      <c r="F33" s="8"/>
      <c r="G33" s="8"/>
      <c r="H33" s="8"/>
      <c r="I33" s="8"/>
      <c r="J33" s="8"/>
      <c r="K33" s="10"/>
      <c r="L33" s="10"/>
      <c r="M33" s="10"/>
      <c r="N33" s="10"/>
      <c r="O33" s="10"/>
      <c r="P33" s="10"/>
      <c r="R33" s="10"/>
    </row>
    <row r="34" spans="1:18" ht="13.5" thickBot="1" x14ac:dyDescent="0.25">
      <c r="A34" s="22" t="s">
        <v>116</v>
      </c>
      <c r="B34" s="22"/>
      <c r="C34" s="22"/>
      <c r="D34" s="22"/>
      <c r="E34" s="109">
        <f t="shared" ref="E34:R34" si="11">E13+E17+E26+E31</f>
        <v>473169</v>
      </c>
      <c r="F34" s="109">
        <f t="shared" si="11"/>
        <v>527169</v>
      </c>
      <c r="G34" s="109">
        <f t="shared" si="11"/>
        <v>550969</v>
      </c>
      <c r="H34" s="109">
        <f t="shared" si="11"/>
        <v>361669</v>
      </c>
      <c r="I34" s="109">
        <f t="shared" si="11"/>
        <v>312469</v>
      </c>
      <c r="J34" s="109">
        <f t="shared" si="11"/>
        <v>320669</v>
      </c>
      <c r="K34" s="109">
        <f t="shared" si="11"/>
        <v>308369</v>
      </c>
      <c r="L34" s="109">
        <f t="shared" si="11"/>
        <v>308369</v>
      </c>
      <c r="M34" s="109">
        <f t="shared" si="11"/>
        <v>320169</v>
      </c>
      <c r="N34" s="109">
        <f t="shared" si="11"/>
        <v>308369</v>
      </c>
      <c r="O34" s="109">
        <f t="shared" si="11"/>
        <v>308369</v>
      </c>
      <c r="P34" s="109">
        <f t="shared" si="11"/>
        <v>321591</v>
      </c>
      <c r="Q34" s="109">
        <f t="shared" si="11"/>
        <v>439819</v>
      </c>
      <c r="R34" s="25">
        <f t="shared" si="11"/>
        <v>4861169</v>
      </c>
    </row>
    <row r="35" spans="1:18" ht="13.5" thickTop="1" x14ac:dyDescent="0.2">
      <c r="A35" s="22"/>
      <c r="B35" s="22"/>
      <c r="C35" s="22"/>
      <c r="D35" s="22"/>
      <c r="E35" s="110"/>
      <c r="F35" s="110"/>
      <c r="G35" s="110"/>
      <c r="H35" s="110"/>
      <c r="I35" s="110"/>
      <c r="J35" s="110"/>
      <c r="K35" s="22"/>
      <c r="L35" s="22"/>
      <c r="M35" s="22"/>
      <c r="N35" s="22"/>
      <c r="O35" s="22"/>
      <c r="P35" s="22"/>
      <c r="Q35" s="22"/>
      <c r="R35" s="22"/>
    </row>
    <row r="36" spans="1:18" x14ac:dyDescent="0.2">
      <c r="A36" s="22"/>
      <c r="B36" s="22"/>
      <c r="C36" s="22"/>
      <c r="D36" s="22"/>
      <c r="E36" s="110"/>
      <c r="F36" s="110"/>
      <c r="G36" s="110"/>
      <c r="H36" s="110"/>
      <c r="I36" s="110"/>
      <c r="J36" s="110"/>
      <c r="K36" s="22"/>
      <c r="L36" s="22"/>
      <c r="M36" s="22"/>
      <c r="N36" s="22"/>
      <c r="O36" s="22"/>
      <c r="P36" s="22"/>
      <c r="Q36" s="22"/>
      <c r="R36" s="22"/>
    </row>
    <row r="37" spans="1:18" x14ac:dyDescent="0.2">
      <c r="A37" s="22" t="s">
        <v>323</v>
      </c>
      <c r="B37" s="22"/>
      <c r="C37" s="22"/>
      <c r="D37" s="22"/>
      <c r="E37" s="110">
        <f t="shared" ref="E37:R37" si="12">E13+E17+E31</f>
        <v>302244</v>
      </c>
      <c r="F37" s="110">
        <f t="shared" si="12"/>
        <v>302244</v>
      </c>
      <c r="G37" s="110">
        <f t="shared" si="12"/>
        <v>314044</v>
      </c>
      <c r="H37" s="110">
        <f t="shared" si="12"/>
        <v>302244</v>
      </c>
      <c r="I37" s="110">
        <f t="shared" si="12"/>
        <v>302244</v>
      </c>
      <c r="J37" s="110">
        <f t="shared" si="12"/>
        <v>315244</v>
      </c>
      <c r="K37" s="110">
        <f t="shared" si="12"/>
        <v>303444</v>
      </c>
      <c r="L37" s="110">
        <f t="shared" si="12"/>
        <v>303444</v>
      </c>
      <c r="M37" s="110">
        <f t="shared" si="12"/>
        <v>315244</v>
      </c>
      <c r="N37" s="110">
        <f t="shared" si="12"/>
        <v>303444</v>
      </c>
      <c r="O37" s="110">
        <f t="shared" si="12"/>
        <v>303444</v>
      </c>
      <c r="P37" s="110">
        <f t="shared" si="12"/>
        <v>315716</v>
      </c>
      <c r="Q37" s="110">
        <f t="shared" si="12"/>
        <v>439819</v>
      </c>
      <c r="R37" s="110">
        <f t="shared" si="12"/>
        <v>4122819</v>
      </c>
    </row>
    <row r="38" spans="1:18" x14ac:dyDescent="0.2">
      <c r="A38" s="22" t="s">
        <v>324</v>
      </c>
      <c r="B38" s="22"/>
      <c r="C38" s="22"/>
      <c r="D38" s="22"/>
      <c r="E38" s="110">
        <f>E26</f>
        <v>170925</v>
      </c>
      <c r="F38" s="110">
        <f t="shared" ref="F38:R38" si="13">F26</f>
        <v>224925</v>
      </c>
      <c r="G38" s="110">
        <f t="shared" si="13"/>
        <v>236925</v>
      </c>
      <c r="H38" s="110">
        <f t="shared" si="13"/>
        <v>59425</v>
      </c>
      <c r="I38" s="110">
        <f t="shared" si="13"/>
        <v>10225</v>
      </c>
      <c r="J38" s="110">
        <f t="shared" si="13"/>
        <v>5425</v>
      </c>
      <c r="K38" s="110">
        <f t="shared" si="13"/>
        <v>4925</v>
      </c>
      <c r="L38" s="110">
        <f t="shared" si="13"/>
        <v>4925</v>
      </c>
      <c r="M38" s="110">
        <f t="shared" si="13"/>
        <v>4925</v>
      </c>
      <c r="N38" s="110">
        <f t="shared" si="13"/>
        <v>4925</v>
      </c>
      <c r="O38" s="110">
        <f t="shared" si="13"/>
        <v>4925</v>
      </c>
      <c r="P38" s="110">
        <f t="shared" si="13"/>
        <v>5875</v>
      </c>
      <c r="Q38" s="110">
        <f t="shared" si="13"/>
        <v>0</v>
      </c>
      <c r="R38" s="110">
        <f t="shared" si="13"/>
        <v>738350</v>
      </c>
    </row>
    <row r="39" spans="1:18" ht="13.5" thickBot="1" x14ac:dyDescent="0.25">
      <c r="A39" s="22"/>
      <c r="B39" s="22"/>
      <c r="C39" s="22"/>
      <c r="D39" s="22"/>
      <c r="E39" s="109">
        <f>SUM(E37:E38)</f>
        <v>473169</v>
      </c>
      <c r="F39" s="109">
        <f t="shared" ref="F39:R39" si="14">SUM(F37:F38)</f>
        <v>527169</v>
      </c>
      <c r="G39" s="109">
        <f t="shared" si="14"/>
        <v>550969</v>
      </c>
      <c r="H39" s="109">
        <f t="shared" si="14"/>
        <v>361669</v>
      </c>
      <c r="I39" s="109">
        <f t="shared" si="14"/>
        <v>312469</v>
      </c>
      <c r="J39" s="109">
        <f t="shared" si="14"/>
        <v>320669</v>
      </c>
      <c r="K39" s="109">
        <f t="shared" si="14"/>
        <v>308369</v>
      </c>
      <c r="L39" s="109">
        <f t="shared" si="14"/>
        <v>308369</v>
      </c>
      <c r="M39" s="109">
        <f t="shared" si="14"/>
        <v>320169</v>
      </c>
      <c r="N39" s="109">
        <f t="shared" si="14"/>
        <v>308369</v>
      </c>
      <c r="O39" s="109">
        <f t="shared" si="14"/>
        <v>308369</v>
      </c>
      <c r="P39" s="109">
        <f t="shared" si="14"/>
        <v>321591</v>
      </c>
      <c r="Q39" s="109">
        <f t="shared" si="14"/>
        <v>439819</v>
      </c>
      <c r="R39" s="109">
        <f t="shared" si="14"/>
        <v>4861169</v>
      </c>
    </row>
    <row r="40" spans="1:18" ht="13.5" thickTop="1" x14ac:dyDescent="0.2">
      <c r="A40" s="72"/>
      <c r="B40" s="72"/>
      <c r="C40" s="72"/>
      <c r="E40" s="82"/>
      <c r="F40" s="82"/>
      <c r="G40" s="82"/>
      <c r="H40" s="82"/>
      <c r="I40" s="82"/>
      <c r="J40" s="82"/>
    </row>
    <row r="41" spans="1:18" x14ac:dyDescent="0.2">
      <c r="A41" s="22" t="s">
        <v>325</v>
      </c>
      <c r="B41" s="72"/>
      <c r="C41" s="72"/>
      <c r="E41" s="82"/>
      <c r="F41" s="82"/>
      <c r="G41" s="82"/>
      <c r="H41" s="82"/>
      <c r="I41" s="82"/>
      <c r="J41" s="82"/>
    </row>
    <row r="42" spans="1:18" x14ac:dyDescent="0.2">
      <c r="A42" s="72" t="s">
        <v>326</v>
      </c>
      <c r="B42" s="72"/>
      <c r="C42" s="72"/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ref="R42:R49" si="15">SUM(E42:Q42)</f>
        <v>0</v>
      </c>
    </row>
    <row r="43" spans="1:18" x14ac:dyDescent="0.2">
      <c r="A43" s="72" t="s">
        <v>327</v>
      </c>
      <c r="B43" s="72"/>
      <c r="C43" s="72"/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f t="shared" si="15"/>
        <v>0</v>
      </c>
    </row>
    <row r="44" spans="1:18" x14ac:dyDescent="0.2">
      <c r="A44" s="72"/>
      <c r="B44" s="72"/>
      <c r="C44" s="72"/>
      <c r="E44" s="82">
        <f>SUM(E42:E43)</f>
        <v>0</v>
      </c>
      <c r="F44" s="82">
        <f t="shared" ref="F44:Q46" si="16">SUM(F42:F43)</f>
        <v>0</v>
      </c>
      <c r="G44" s="82">
        <f t="shared" si="16"/>
        <v>0</v>
      </c>
      <c r="H44" s="82">
        <f t="shared" si="16"/>
        <v>0</v>
      </c>
      <c r="I44" s="82">
        <f t="shared" si="16"/>
        <v>0</v>
      </c>
      <c r="J44" s="82">
        <f t="shared" si="16"/>
        <v>0</v>
      </c>
      <c r="K44" s="5">
        <f t="shared" si="16"/>
        <v>0</v>
      </c>
      <c r="L44" s="5">
        <f t="shared" si="16"/>
        <v>0</v>
      </c>
      <c r="M44" s="5">
        <f t="shared" si="16"/>
        <v>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5"/>
        <v>0</v>
      </c>
    </row>
    <row r="45" spans="1:18" x14ac:dyDescent="0.2">
      <c r="A45" s="72" t="s">
        <v>328</v>
      </c>
      <c r="B45" s="72"/>
      <c r="C45" s="72"/>
      <c r="E45" s="84"/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f t="shared" si="15"/>
        <v>0</v>
      </c>
    </row>
    <row r="46" spans="1:18" x14ac:dyDescent="0.2">
      <c r="A46" s="72"/>
      <c r="B46" s="72"/>
      <c r="C46" s="72"/>
      <c r="E46" s="82">
        <f>SUM(E44:E45)</f>
        <v>0</v>
      </c>
      <c r="F46" s="82">
        <f t="shared" ref="F46:Q46" si="17">SUM(F44:F45)</f>
        <v>0</v>
      </c>
      <c r="G46" s="82">
        <f t="shared" si="16"/>
        <v>0</v>
      </c>
      <c r="H46" s="82">
        <f t="shared" si="17"/>
        <v>0</v>
      </c>
      <c r="I46" s="82">
        <f t="shared" si="17"/>
        <v>0</v>
      </c>
      <c r="J46" s="82">
        <f t="shared" si="17"/>
        <v>0</v>
      </c>
      <c r="K46" s="5">
        <f t="shared" si="17"/>
        <v>0</v>
      </c>
      <c r="L46" s="5">
        <f t="shared" si="17"/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5"/>
        <v>0</v>
      </c>
    </row>
    <row r="47" spans="1:18" x14ac:dyDescent="0.2">
      <c r="A47" s="72" t="s">
        <v>63</v>
      </c>
      <c r="B47" s="72"/>
      <c r="C47" s="72"/>
      <c r="E47" s="82">
        <f>-'Page 7'!Q55</f>
        <v>0</v>
      </c>
      <c r="F47" s="82">
        <v>0</v>
      </c>
      <c r="G47" s="82">
        <v>0</v>
      </c>
      <c r="H47" s="82"/>
      <c r="I47" s="82"/>
      <c r="J47" s="82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f t="shared" si="15"/>
        <v>0</v>
      </c>
    </row>
    <row r="48" spans="1:18" x14ac:dyDescent="0.2">
      <c r="A48" s="72"/>
      <c r="B48" s="72"/>
      <c r="C48" s="72"/>
      <c r="E48" s="82"/>
      <c r="F48" s="82"/>
      <c r="G48" s="82"/>
      <c r="H48" s="82"/>
      <c r="I48" s="82"/>
      <c r="J48" s="82"/>
    </row>
    <row r="49" spans="1:19" ht="13.5" thickBot="1" x14ac:dyDescent="0.25">
      <c r="A49" s="72" t="s">
        <v>329</v>
      </c>
      <c r="B49" s="72"/>
      <c r="C49" s="72"/>
      <c r="E49" s="83">
        <f>SUM(E46:E48)</f>
        <v>0</v>
      </c>
      <c r="F49" s="83">
        <f t="shared" ref="F49:Q49" si="18">SUM(F46:F48)</f>
        <v>0</v>
      </c>
      <c r="G49" s="83">
        <f t="shared" si="18"/>
        <v>0</v>
      </c>
      <c r="H49" s="83">
        <f t="shared" si="18"/>
        <v>0</v>
      </c>
      <c r="I49" s="83">
        <f t="shared" si="18"/>
        <v>0</v>
      </c>
      <c r="J49" s="83">
        <f t="shared" si="18"/>
        <v>0</v>
      </c>
      <c r="K49" s="9">
        <f t="shared" si="18"/>
        <v>0</v>
      </c>
      <c r="L49" s="9">
        <f t="shared" si="18"/>
        <v>0</v>
      </c>
      <c r="M49" s="9">
        <f t="shared" si="18"/>
        <v>0</v>
      </c>
      <c r="N49" s="9">
        <f t="shared" si="18"/>
        <v>0</v>
      </c>
      <c r="O49" s="9">
        <f t="shared" si="18"/>
        <v>0</v>
      </c>
      <c r="P49" s="9">
        <f t="shared" si="18"/>
        <v>0</v>
      </c>
      <c r="Q49" s="9">
        <f t="shared" si="18"/>
        <v>0</v>
      </c>
      <c r="R49" s="9">
        <f t="shared" si="15"/>
        <v>0</v>
      </c>
    </row>
    <row r="50" spans="1:19" ht="13.5" thickTop="1" x14ac:dyDescent="0.2">
      <c r="A50" s="72"/>
      <c r="B50" s="72"/>
      <c r="C50" s="72"/>
      <c r="E50" s="82"/>
      <c r="F50" s="82"/>
      <c r="G50" s="82"/>
      <c r="H50" s="82"/>
      <c r="I50" s="82"/>
      <c r="J50" s="82"/>
    </row>
    <row r="51" spans="1:19" x14ac:dyDescent="0.2">
      <c r="A51" s="72"/>
      <c r="B51" s="72"/>
      <c r="C51" s="72"/>
      <c r="E51" s="82"/>
      <c r="F51" s="82"/>
      <c r="G51" s="82"/>
      <c r="H51" s="82"/>
      <c r="I51" s="82"/>
      <c r="J51" s="82"/>
    </row>
    <row r="52" spans="1:19" x14ac:dyDescent="0.2">
      <c r="A52" s="72" t="s">
        <v>121</v>
      </c>
      <c r="B52" s="72"/>
      <c r="C52" s="72"/>
      <c r="E52" s="82">
        <v>0</v>
      </c>
      <c r="F52" s="82">
        <v>0</v>
      </c>
      <c r="G52" s="82">
        <v>200</v>
      </c>
      <c r="H52" s="82">
        <v>0</v>
      </c>
      <c r="I52" s="82">
        <v>0</v>
      </c>
      <c r="J52" s="82">
        <v>400</v>
      </c>
      <c r="K52" s="5">
        <v>0</v>
      </c>
      <c r="L52" s="5">
        <v>0</v>
      </c>
      <c r="M52" s="5">
        <v>700</v>
      </c>
      <c r="N52" s="5">
        <v>0</v>
      </c>
      <c r="O52" s="5">
        <v>0</v>
      </c>
      <c r="P52" s="5">
        <v>900</v>
      </c>
      <c r="Q52" s="5">
        <v>0</v>
      </c>
      <c r="R52" s="5">
        <f>SUM(E52:Q52)</f>
        <v>2200</v>
      </c>
      <c r="S52" s="72"/>
    </row>
    <row r="53" spans="1:19" x14ac:dyDescent="0.2">
      <c r="A53" s="72" t="s">
        <v>330</v>
      </c>
      <c r="B53" s="72"/>
      <c r="C53" s="72"/>
      <c r="E53" s="8">
        <v>0</v>
      </c>
      <c r="F53" s="8">
        <v>0</v>
      </c>
      <c r="G53" s="8">
        <f>183399+3039</f>
        <v>186438</v>
      </c>
      <c r="H53" s="8">
        <v>0</v>
      </c>
      <c r="I53" s="8">
        <v>0</v>
      </c>
      <c r="J53" s="8">
        <f>181484+3039</f>
        <v>184523</v>
      </c>
      <c r="K53" s="10">
        <v>0</v>
      </c>
      <c r="L53" s="10">
        <v>0</v>
      </c>
      <c r="M53" s="10">
        <f>181484+3039</f>
        <v>184523</v>
      </c>
      <c r="N53" s="10">
        <v>0</v>
      </c>
      <c r="O53" s="10">
        <v>0</v>
      </c>
      <c r="P53" s="10">
        <f>181484+3039</f>
        <v>184523</v>
      </c>
      <c r="Q53" s="10"/>
      <c r="R53" s="10">
        <f>SUM(E53:Q53)</f>
        <v>740007</v>
      </c>
      <c r="S53" s="72"/>
    </row>
    <row r="54" spans="1:19" x14ac:dyDescent="0.2">
      <c r="A54" s="72" t="s">
        <v>263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10">
        <f>SUM(E54:Q54)</f>
        <v>0</v>
      </c>
      <c r="S54" s="72"/>
    </row>
    <row r="55" spans="1:19" x14ac:dyDescent="0.2">
      <c r="A55" s="72" t="s">
        <v>331</v>
      </c>
      <c r="E55" s="5">
        <f>3869*1.03</f>
        <v>3985.07</v>
      </c>
      <c r="F55" s="5">
        <f t="shared" ref="F55:O55" si="19">3869*1.03</f>
        <v>3985.07</v>
      </c>
      <c r="G55" s="5">
        <f t="shared" si="19"/>
        <v>3985.07</v>
      </c>
      <c r="H55" s="5">
        <f t="shared" si="19"/>
        <v>3985.07</v>
      </c>
      <c r="I55" s="5">
        <f t="shared" si="19"/>
        <v>3985.07</v>
      </c>
      <c r="J55" s="5">
        <f t="shared" si="19"/>
        <v>3985.07</v>
      </c>
      <c r="K55" s="5">
        <f t="shared" si="19"/>
        <v>3985.07</v>
      </c>
      <c r="L55" s="5">
        <f t="shared" si="19"/>
        <v>3985.07</v>
      </c>
      <c r="M55" s="5">
        <f t="shared" si="19"/>
        <v>3985.07</v>
      </c>
      <c r="N55" s="5">
        <f t="shared" si="19"/>
        <v>3985.07</v>
      </c>
      <c r="O55" s="5">
        <f t="shared" si="19"/>
        <v>3985.07</v>
      </c>
      <c r="P55" s="5">
        <f>(3869*1.03)-4</f>
        <v>3981.07</v>
      </c>
      <c r="R55" s="10">
        <f>SUM(E55:Q55)</f>
        <v>47816.840000000004</v>
      </c>
      <c r="S55" s="7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>
    <oddFooter>&amp;CPage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10" workbookViewId="0">
      <selection activeCell="D38" sqref="D38"/>
    </sheetView>
  </sheetViews>
  <sheetFormatPr defaultRowHeight="12.75" x14ac:dyDescent="0.2"/>
  <cols>
    <col min="2" max="2" width="9.85546875" customWidth="1"/>
    <col min="3" max="3" width="11" customWidth="1"/>
    <col min="4" max="8" width="10.140625" bestFit="1" customWidth="1"/>
    <col min="9" max="10" width="9.42578125" bestFit="1" customWidth="1"/>
    <col min="11" max="11" width="9.7109375" bestFit="1" customWidth="1"/>
    <col min="12" max="12" width="9.42578125" bestFit="1" customWidth="1"/>
    <col min="13" max="13" width="9.42578125" customWidth="1"/>
    <col min="14" max="15" width="9.42578125" bestFit="1" customWidth="1"/>
    <col min="17" max="17" width="10.5703125" customWidth="1"/>
  </cols>
  <sheetData>
    <row r="1" spans="1:18" ht="15.75" x14ac:dyDescent="0.25">
      <c r="A1" s="2" t="s">
        <v>27</v>
      </c>
    </row>
    <row r="2" spans="1:18" ht="15.75" x14ac:dyDescent="0.25">
      <c r="A2" s="2"/>
    </row>
    <row r="3" spans="1:18" ht="15.75" x14ac:dyDescent="0.25">
      <c r="A3" s="2" t="s">
        <v>233</v>
      </c>
      <c r="G3" s="39" t="str">
        <f>'Page 8'!F3</f>
        <v>2019/20</v>
      </c>
      <c r="H3" s="3"/>
    </row>
    <row r="4" spans="1:18" ht="12.75" customHeight="1" x14ac:dyDescent="0.25">
      <c r="A4" s="2"/>
    </row>
    <row r="5" spans="1:18" x14ac:dyDescent="0.2">
      <c r="A5" s="1" t="s">
        <v>41</v>
      </c>
      <c r="D5" s="1" t="s">
        <v>1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/>
      <c r="Q5" s="1" t="s">
        <v>3</v>
      </c>
    </row>
    <row r="6" spans="1:18" x14ac:dyDescent="0.2">
      <c r="C6" s="13"/>
    </row>
    <row r="7" spans="1:18" x14ac:dyDescent="0.2">
      <c r="C7" s="1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x14ac:dyDescent="0.2">
      <c r="A8" s="69" t="s">
        <v>332</v>
      </c>
      <c r="B8" s="69"/>
      <c r="D8" s="5">
        <v>0</v>
      </c>
      <c r="E8" s="5">
        <v>0</v>
      </c>
      <c r="F8" s="5">
        <v>2000</v>
      </c>
      <c r="G8" s="5">
        <v>0</v>
      </c>
      <c r="H8" s="5">
        <v>0</v>
      </c>
      <c r="I8" s="5">
        <v>2000</v>
      </c>
      <c r="J8" s="5">
        <v>0</v>
      </c>
      <c r="K8" s="5">
        <v>0</v>
      </c>
      <c r="L8" s="5">
        <v>2000</v>
      </c>
      <c r="M8" s="5">
        <v>0</v>
      </c>
      <c r="N8" s="5">
        <v>0</v>
      </c>
      <c r="O8" s="5">
        <v>4000</v>
      </c>
      <c r="P8" s="5"/>
      <c r="Q8" s="5">
        <f t="shared" ref="Q8:Q12" si="0">SUM(D8:O8)</f>
        <v>10000</v>
      </c>
      <c r="R8" s="69"/>
    </row>
    <row r="9" spans="1:18" x14ac:dyDescent="0.2">
      <c r="A9" s="69" t="s">
        <v>514</v>
      </c>
      <c r="B9" s="69"/>
      <c r="D9" s="5">
        <v>0</v>
      </c>
      <c r="E9" s="5">
        <v>0</v>
      </c>
      <c r="F9" s="5">
        <v>0</v>
      </c>
      <c r="G9" s="5">
        <v>0</v>
      </c>
      <c r="H9" s="5">
        <v>250000</v>
      </c>
      <c r="I9" s="5">
        <v>0</v>
      </c>
      <c r="J9" s="5">
        <v>0</v>
      </c>
      <c r="K9" s="5">
        <v>0</v>
      </c>
      <c r="L9" s="5">
        <v>250000</v>
      </c>
      <c r="M9" s="5">
        <v>0</v>
      </c>
      <c r="N9" s="5">
        <v>0</v>
      </c>
      <c r="O9" s="5">
        <v>0</v>
      </c>
      <c r="P9" s="5"/>
      <c r="Q9" s="5">
        <f t="shared" si="0"/>
        <v>500000</v>
      </c>
      <c r="R9" s="69"/>
    </row>
    <row r="10" spans="1:18" x14ac:dyDescent="0.2">
      <c r="A10" s="69" t="s">
        <v>554</v>
      </c>
      <c r="B10" s="69"/>
      <c r="D10" s="5">
        <v>0</v>
      </c>
      <c r="E10" s="5">
        <v>0</v>
      </c>
      <c r="F10" s="5">
        <v>0</v>
      </c>
      <c r="G10" s="5">
        <v>45900</v>
      </c>
      <c r="H10" s="5">
        <v>0</v>
      </c>
      <c r="I10" s="5">
        <v>0</v>
      </c>
      <c r="J10" s="5">
        <v>0</v>
      </c>
      <c r="K10" s="5">
        <v>45900</v>
      </c>
      <c r="L10" s="5">
        <v>0</v>
      </c>
      <c r="M10" s="5">
        <v>0</v>
      </c>
      <c r="N10" s="5">
        <v>0</v>
      </c>
      <c r="O10" s="5">
        <v>45800</v>
      </c>
      <c r="P10" s="5"/>
      <c r="Q10" s="5">
        <f t="shared" si="0"/>
        <v>137600</v>
      </c>
      <c r="R10" s="69"/>
    </row>
    <row r="11" spans="1:18" x14ac:dyDescent="0.2">
      <c r="A11" s="69" t="s">
        <v>333</v>
      </c>
      <c r="B11" s="69"/>
      <c r="D11" s="5">
        <v>855819</v>
      </c>
      <c r="E11" s="5">
        <v>0</v>
      </c>
      <c r="F11" s="5">
        <v>0</v>
      </c>
      <c r="G11" s="5">
        <v>0</v>
      </c>
      <c r="H11" s="5">
        <v>495447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f t="shared" si="0"/>
        <v>1351266</v>
      </c>
    </row>
    <row r="12" spans="1:18" x14ac:dyDescent="0.2">
      <c r="A12" s="69" t="s">
        <v>334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/>
      <c r="Q12" s="6">
        <f t="shared" si="0"/>
        <v>0</v>
      </c>
    </row>
    <row r="13" spans="1:18" x14ac:dyDescent="0.2">
      <c r="D13" s="10">
        <f>SUM(D7:D12)</f>
        <v>855819</v>
      </c>
      <c r="E13" s="10">
        <f t="shared" ref="E13:O13" si="1">SUM(E7:E12)</f>
        <v>0</v>
      </c>
      <c r="F13" s="10">
        <f t="shared" si="1"/>
        <v>2000</v>
      </c>
      <c r="G13" s="10">
        <f t="shared" si="1"/>
        <v>45900</v>
      </c>
      <c r="H13" s="10">
        <f t="shared" si="1"/>
        <v>745447</v>
      </c>
      <c r="I13" s="10">
        <f t="shared" si="1"/>
        <v>2000</v>
      </c>
      <c r="J13" s="10">
        <f t="shared" si="1"/>
        <v>0</v>
      </c>
      <c r="K13" s="10">
        <f t="shared" si="1"/>
        <v>45900</v>
      </c>
      <c r="L13" s="10">
        <f t="shared" si="1"/>
        <v>252000</v>
      </c>
      <c r="M13" s="10">
        <f t="shared" si="1"/>
        <v>0</v>
      </c>
      <c r="N13" s="10">
        <f t="shared" si="1"/>
        <v>0</v>
      </c>
      <c r="O13" s="10">
        <f t="shared" si="1"/>
        <v>49800</v>
      </c>
      <c r="P13" s="10">
        <f>SUM(P7:P12)</f>
        <v>0</v>
      </c>
      <c r="Q13" s="10">
        <f t="shared" ref="Q13" si="2">SUM(Q7:Q12)</f>
        <v>1998866</v>
      </c>
    </row>
    <row r="14" spans="1:18" x14ac:dyDescent="0.2">
      <c r="A14" s="69" t="s">
        <v>335</v>
      </c>
      <c r="D14" s="10">
        <v>0</v>
      </c>
      <c r="E14" s="10">
        <v>0</v>
      </c>
      <c r="F14" s="10">
        <v>10000</v>
      </c>
      <c r="G14" s="10">
        <v>0</v>
      </c>
      <c r="H14" s="10">
        <v>0</v>
      </c>
      <c r="I14" s="10">
        <v>10000</v>
      </c>
      <c r="J14" s="10">
        <v>0</v>
      </c>
      <c r="K14" s="10">
        <v>0</v>
      </c>
      <c r="L14" s="10">
        <v>10000</v>
      </c>
      <c r="M14" s="10">
        <v>0</v>
      </c>
      <c r="N14" s="10">
        <v>0</v>
      </c>
      <c r="O14" s="10">
        <v>5000</v>
      </c>
      <c r="P14" s="10"/>
      <c r="Q14" s="10">
        <f>SUM(D14:P14)</f>
        <v>35000</v>
      </c>
    </row>
    <row r="15" spans="1:18" x14ac:dyDescent="0.2">
      <c r="D15" s="7">
        <f t="shared" ref="D15:Q15" si="3">SUM(D13:D14)</f>
        <v>855819</v>
      </c>
      <c r="E15" s="7">
        <f t="shared" si="3"/>
        <v>0</v>
      </c>
      <c r="F15" s="7">
        <f t="shared" si="3"/>
        <v>12000</v>
      </c>
      <c r="G15" s="7">
        <f t="shared" si="3"/>
        <v>45900</v>
      </c>
      <c r="H15" s="7">
        <f t="shared" si="3"/>
        <v>745447</v>
      </c>
      <c r="I15" s="7">
        <f t="shared" si="3"/>
        <v>12000</v>
      </c>
      <c r="J15" s="7">
        <f t="shared" si="3"/>
        <v>0</v>
      </c>
      <c r="K15" s="7">
        <f t="shared" si="3"/>
        <v>45900</v>
      </c>
      <c r="L15" s="7">
        <f t="shared" si="3"/>
        <v>262000</v>
      </c>
      <c r="M15" s="7">
        <f t="shared" si="3"/>
        <v>0</v>
      </c>
      <c r="N15" s="7">
        <f t="shared" si="3"/>
        <v>0</v>
      </c>
      <c r="O15" s="7">
        <f t="shared" si="3"/>
        <v>54800</v>
      </c>
      <c r="P15" s="7">
        <f t="shared" si="3"/>
        <v>0</v>
      </c>
      <c r="Q15" s="7">
        <f t="shared" si="3"/>
        <v>2033866</v>
      </c>
    </row>
    <row r="16" spans="1:18" x14ac:dyDescent="0.2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1" t="s">
        <v>490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69" t="s">
        <v>491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>
        <f>SUM(D20:P20)</f>
        <v>0</v>
      </c>
    </row>
    <row r="21" spans="1:17" x14ac:dyDescent="0.2">
      <c r="A21" s="69" t="s">
        <v>471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822000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/>
      <c r="Q21" s="5">
        <f>SUM(D21:O21)</f>
        <v>822000</v>
      </c>
    </row>
    <row r="22" spans="1:17" x14ac:dyDescent="0.2">
      <c r="D22" s="7">
        <f>SUM(D20:D21)</f>
        <v>0</v>
      </c>
      <c r="E22" s="7">
        <f t="shared" ref="E22:Q22" si="4">SUM(E20:E21)</f>
        <v>0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822000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0</v>
      </c>
      <c r="O22" s="7">
        <f t="shared" si="4"/>
        <v>0</v>
      </c>
      <c r="P22" s="7">
        <f t="shared" si="4"/>
        <v>0</v>
      </c>
      <c r="Q22" s="7">
        <f t="shared" si="4"/>
        <v>822000</v>
      </c>
    </row>
    <row r="23" spans="1:17" x14ac:dyDescent="0.2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5" spans="1:17" ht="13.5" thickBot="1" x14ac:dyDescent="0.25">
      <c r="A25" s="1" t="s">
        <v>342</v>
      </c>
      <c r="D25" s="9">
        <v>1000000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f>SUM(D25:P25)</f>
        <v>1000000</v>
      </c>
    </row>
    <row r="26" spans="1:17" ht="13.5" thickTop="1" x14ac:dyDescent="0.2">
      <c r="J26" t="s">
        <v>184</v>
      </c>
      <c r="K26" s="32"/>
    </row>
    <row r="27" spans="1:17" x14ac:dyDescent="0.2">
      <c r="J27" t="s">
        <v>184</v>
      </c>
    </row>
    <row r="28" spans="1:17" x14ac:dyDescent="0.2">
      <c r="A28" s="1" t="s">
        <v>529</v>
      </c>
      <c r="J28" t="s">
        <v>184</v>
      </c>
      <c r="K28" s="32"/>
    </row>
    <row r="29" spans="1:17" ht="14.25" customHeight="1" x14ac:dyDescent="0.2">
      <c r="B29" s="1"/>
      <c r="C29" s="1"/>
      <c r="D29" s="1"/>
      <c r="J29" t="s">
        <v>184</v>
      </c>
    </row>
    <row r="30" spans="1:17" ht="14.25" customHeight="1" x14ac:dyDescent="0.2">
      <c r="B30" s="1"/>
      <c r="C30" s="1"/>
      <c r="D30" s="1" t="s">
        <v>469</v>
      </c>
    </row>
    <row r="31" spans="1:17" ht="14.25" customHeight="1" x14ac:dyDescent="0.2">
      <c r="B31" s="1"/>
      <c r="C31" s="1" t="s">
        <v>468</v>
      </c>
      <c r="D31" s="1" t="s">
        <v>464</v>
      </c>
      <c r="E31" s="1" t="s">
        <v>465</v>
      </c>
    </row>
    <row r="32" spans="1:17" x14ac:dyDescent="0.2">
      <c r="A32" s="1" t="s">
        <v>201</v>
      </c>
      <c r="B32" t="s">
        <v>184</v>
      </c>
      <c r="C32" s="16"/>
      <c r="J32" t="s">
        <v>184</v>
      </c>
      <c r="K32" s="32"/>
    </row>
    <row r="33" spans="1:11" x14ac:dyDescent="0.2">
      <c r="A33" s="69" t="s">
        <v>237</v>
      </c>
      <c r="B33" t="s">
        <v>184</v>
      </c>
      <c r="C33" s="5">
        <v>73734</v>
      </c>
      <c r="D33" s="5">
        <v>0</v>
      </c>
      <c r="E33" s="5">
        <f>SUM(C33:D33)</f>
        <v>73734</v>
      </c>
      <c r="J33" t="s">
        <v>184</v>
      </c>
    </row>
    <row r="34" spans="1:11" x14ac:dyDescent="0.2">
      <c r="A34" s="130" t="s">
        <v>395</v>
      </c>
      <c r="B34" t="s">
        <v>184</v>
      </c>
      <c r="C34" s="5">
        <f>1479061+160517</f>
        <v>1639578</v>
      </c>
      <c r="D34" s="5">
        <v>0</v>
      </c>
      <c r="E34" s="5">
        <f t="shared" ref="E34:E36" si="5">SUM(C34:D34)</f>
        <v>1639578</v>
      </c>
    </row>
    <row r="35" spans="1:11" x14ac:dyDescent="0.2">
      <c r="A35" s="130" t="s">
        <v>466</v>
      </c>
      <c r="B35" t="s">
        <v>184</v>
      </c>
      <c r="C35" s="5">
        <v>1138049</v>
      </c>
      <c r="D35" s="5">
        <f>670098+196140+275314</f>
        <v>1141552</v>
      </c>
      <c r="E35" s="5">
        <f t="shared" si="5"/>
        <v>2279601</v>
      </c>
      <c r="K35" s="32"/>
    </row>
    <row r="36" spans="1:11" x14ac:dyDescent="0.2">
      <c r="A36" s="130" t="s">
        <v>467</v>
      </c>
      <c r="B36" t="s">
        <v>184</v>
      </c>
      <c r="C36" s="5">
        <v>0</v>
      </c>
      <c r="D36" s="5">
        <v>0</v>
      </c>
      <c r="E36" s="5">
        <f t="shared" si="5"/>
        <v>0</v>
      </c>
      <c r="K36" s="32"/>
    </row>
    <row r="37" spans="1:11" x14ac:dyDescent="0.2">
      <c r="B37" t="s">
        <v>184</v>
      </c>
      <c r="C37" s="5"/>
      <c r="D37" s="5"/>
      <c r="E37" s="5"/>
    </row>
    <row r="38" spans="1:11" ht="13.5" thickBot="1" x14ac:dyDescent="0.25">
      <c r="B38" t="s">
        <v>184</v>
      </c>
      <c r="C38" s="9">
        <f>SUM(C33:C37)</f>
        <v>2851361</v>
      </c>
      <c r="D38" s="9">
        <f t="shared" ref="D38:E38" si="6">SUM(D33:D37)</f>
        <v>1141552</v>
      </c>
      <c r="E38" s="9">
        <f t="shared" si="6"/>
        <v>3992913</v>
      </c>
      <c r="K38" s="32"/>
    </row>
    <row r="39" spans="1:11" ht="13.5" thickTop="1" x14ac:dyDescent="0.2">
      <c r="B39" t="s">
        <v>184</v>
      </c>
      <c r="C39" s="5"/>
      <c r="D39" s="5"/>
      <c r="E39" s="5"/>
    </row>
    <row r="40" spans="1:11" x14ac:dyDescent="0.2">
      <c r="A40" s="1" t="s">
        <v>470</v>
      </c>
      <c r="B40" s="32"/>
      <c r="C40" s="5"/>
      <c r="D40" s="5"/>
      <c r="E40" s="5"/>
      <c r="K40" s="32"/>
    </row>
    <row r="41" spans="1:11" x14ac:dyDescent="0.2">
      <c r="A41" s="130" t="s">
        <v>237</v>
      </c>
      <c r="B41" t="s">
        <v>184</v>
      </c>
      <c r="C41" s="5">
        <v>73734</v>
      </c>
      <c r="D41" s="5">
        <v>0</v>
      </c>
      <c r="E41" s="5">
        <f>SUM(C41:D41)</f>
        <v>73734</v>
      </c>
    </row>
    <row r="42" spans="1:11" x14ac:dyDescent="0.2">
      <c r="A42" s="130" t="s">
        <v>395</v>
      </c>
      <c r="B42" t="s">
        <v>184</v>
      </c>
      <c r="C42" s="5">
        <f>1479061+88888</f>
        <v>1567949</v>
      </c>
      <c r="D42" s="5">
        <v>0</v>
      </c>
      <c r="E42" s="5">
        <f t="shared" ref="E42:E44" si="7">SUM(C42:D42)</f>
        <v>1567949</v>
      </c>
    </row>
    <row r="43" spans="1:11" x14ac:dyDescent="0.2">
      <c r="A43" s="130" t="s">
        <v>466</v>
      </c>
      <c r="B43" t="s">
        <v>184</v>
      </c>
      <c r="C43" s="5">
        <v>0</v>
      </c>
      <c r="D43" s="5">
        <v>319552</v>
      </c>
      <c r="E43" s="5">
        <f t="shared" si="7"/>
        <v>319552</v>
      </c>
    </row>
    <row r="44" spans="1:11" x14ac:dyDescent="0.2">
      <c r="A44" s="130" t="s">
        <v>467</v>
      </c>
      <c r="B44" t="s">
        <v>184</v>
      </c>
      <c r="C44" s="5">
        <v>0</v>
      </c>
      <c r="D44" s="5">
        <v>0</v>
      </c>
      <c r="E44" s="5">
        <f t="shared" si="7"/>
        <v>0</v>
      </c>
    </row>
    <row r="45" spans="1:11" x14ac:dyDescent="0.2">
      <c r="B45" t="s">
        <v>184</v>
      </c>
      <c r="C45" s="5"/>
      <c r="D45" s="5"/>
      <c r="E45" s="5"/>
    </row>
    <row r="46" spans="1:11" ht="13.5" thickBot="1" x14ac:dyDescent="0.25">
      <c r="C46" s="9">
        <f>SUM(C41:C45)</f>
        <v>1641683</v>
      </c>
      <c r="D46" s="9">
        <f t="shared" ref="D46:E46" si="8">SUM(D41:D45)</f>
        <v>319552</v>
      </c>
      <c r="E46" s="9">
        <f t="shared" si="8"/>
        <v>1961235</v>
      </c>
    </row>
    <row r="47" spans="1:11" ht="13.5" thickTop="1" x14ac:dyDescent="0.2">
      <c r="B47" s="32"/>
      <c r="C47" s="5"/>
      <c r="D47" s="5"/>
      <c r="E47" s="5"/>
    </row>
    <row r="48" spans="1:11" x14ac:dyDescent="0.2">
      <c r="A48" s="1" t="s">
        <v>471</v>
      </c>
      <c r="B48" t="s">
        <v>184</v>
      </c>
      <c r="C48" s="5"/>
      <c r="D48" s="5"/>
      <c r="E48" s="5"/>
    </row>
    <row r="49" spans="1:5" x14ac:dyDescent="0.2">
      <c r="A49" s="130" t="s">
        <v>237</v>
      </c>
      <c r="B49" t="s">
        <v>184</v>
      </c>
      <c r="C49" s="5">
        <v>0</v>
      </c>
      <c r="D49" s="5">
        <v>0</v>
      </c>
      <c r="E49" s="5">
        <f>SUM(C49:D49)</f>
        <v>0</v>
      </c>
    </row>
    <row r="50" spans="1:5" x14ac:dyDescent="0.2">
      <c r="A50" s="130" t="s">
        <v>395</v>
      </c>
      <c r="B50" t="s">
        <v>184</v>
      </c>
      <c r="C50" s="5">
        <v>0</v>
      </c>
      <c r="D50" s="5">
        <v>0</v>
      </c>
      <c r="E50" s="5">
        <f t="shared" ref="E50:E52" si="9">SUM(C50:D50)</f>
        <v>0</v>
      </c>
    </row>
    <row r="51" spans="1:5" x14ac:dyDescent="0.2">
      <c r="A51" s="130" t="s">
        <v>466</v>
      </c>
      <c r="B51" t="s">
        <v>184</v>
      </c>
      <c r="C51" s="5">
        <v>0</v>
      </c>
      <c r="D51" s="5">
        <v>822000</v>
      </c>
      <c r="E51" s="5">
        <f t="shared" si="9"/>
        <v>822000</v>
      </c>
    </row>
    <row r="52" spans="1:5" x14ac:dyDescent="0.2">
      <c r="A52" s="130" t="s">
        <v>467</v>
      </c>
      <c r="B52" t="s">
        <v>184</v>
      </c>
      <c r="C52" s="5">
        <v>0</v>
      </c>
      <c r="D52" s="5">
        <v>0</v>
      </c>
      <c r="E52" s="5">
        <f t="shared" si="9"/>
        <v>0</v>
      </c>
    </row>
    <row r="53" spans="1:5" x14ac:dyDescent="0.2">
      <c r="B53" t="s">
        <v>184</v>
      </c>
      <c r="C53" s="5"/>
      <c r="D53" s="5"/>
      <c r="E53" s="5"/>
    </row>
    <row r="54" spans="1:5" ht="13.5" thickBot="1" x14ac:dyDescent="0.25">
      <c r="B54" s="11"/>
      <c r="C54" s="9">
        <f>SUM(C49:C53)</f>
        <v>0</v>
      </c>
      <c r="D54" s="9">
        <f t="shared" ref="D54:E54" si="10">SUM(D49:D53)</f>
        <v>822000</v>
      </c>
      <c r="E54" s="9">
        <f t="shared" si="10"/>
        <v>822000</v>
      </c>
    </row>
    <row r="55" spans="1:5" ht="13.5" thickTop="1" x14ac:dyDescent="0.2">
      <c r="B55" s="11"/>
      <c r="C55" s="10"/>
      <c r="D55" s="10"/>
      <c r="E55" s="5"/>
    </row>
    <row r="56" spans="1:5" x14ac:dyDescent="0.2">
      <c r="A56" s="1" t="s">
        <v>472</v>
      </c>
      <c r="B56" s="11"/>
      <c r="C56" s="10"/>
      <c r="D56" s="10"/>
      <c r="E56" s="5"/>
    </row>
    <row r="57" spans="1:5" x14ac:dyDescent="0.2">
      <c r="A57" s="130" t="s">
        <v>237</v>
      </c>
      <c r="B57" s="11"/>
      <c r="C57" s="10">
        <f>C33-C41-C49</f>
        <v>0</v>
      </c>
      <c r="D57" s="10">
        <f t="shared" ref="D57:E57" si="11">D33-D41-D49</f>
        <v>0</v>
      </c>
      <c r="E57" s="10">
        <f t="shared" si="11"/>
        <v>0</v>
      </c>
    </row>
    <row r="58" spans="1:5" x14ac:dyDescent="0.2">
      <c r="A58" s="130" t="s">
        <v>395</v>
      </c>
      <c r="B58" s="11"/>
      <c r="C58" s="10">
        <f t="shared" ref="C58:E60" si="12">C34-C42-C50</f>
        <v>71629</v>
      </c>
      <c r="D58" s="10">
        <f t="shared" si="12"/>
        <v>0</v>
      </c>
      <c r="E58" s="10">
        <f t="shared" si="12"/>
        <v>71629</v>
      </c>
    </row>
    <row r="59" spans="1:5" x14ac:dyDescent="0.2">
      <c r="A59" s="130" t="s">
        <v>466</v>
      </c>
      <c r="B59" s="11"/>
      <c r="C59" s="10">
        <f t="shared" si="12"/>
        <v>1138049</v>
      </c>
      <c r="D59" s="10">
        <f t="shared" si="12"/>
        <v>0</v>
      </c>
      <c r="E59" s="10">
        <f t="shared" si="12"/>
        <v>1138049</v>
      </c>
    </row>
    <row r="60" spans="1:5" x14ac:dyDescent="0.2">
      <c r="A60" s="130" t="s">
        <v>467</v>
      </c>
      <c r="B60" s="11"/>
      <c r="C60" s="10">
        <f t="shared" si="12"/>
        <v>0</v>
      </c>
      <c r="D60" s="10">
        <f t="shared" si="12"/>
        <v>0</v>
      </c>
      <c r="E60" s="10">
        <f t="shared" si="12"/>
        <v>0</v>
      </c>
    </row>
    <row r="61" spans="1:5" x14ac:dyDescent="0.2">
      <c r="B61" s="11"/>
      <c r="C61" s="10"/>
      <c r="D61" s="10"/>
      <c r="E61" s="5"/>
    </row>
    <row r="62" spans="1:5" ht="13.5" thickBot="1" x14ac:dyDescent="0.25">
      <c r="B62" s="11"/>
      <c r="C62" s="9">
        <f>SUM(C57:C61)</f>
        <v>1209678</v>
      </c>
      <c r="D62" s="9">
        <f t="shared" ref="D62:E62" si="13">SUM(D57:D61)</f>
        <v>0</v>
      </c>
      <c r="E62" s="9">
        <f t="shared" si="13"/>
        <v>1209678</v>
      </c>
    </row>
    <row r="63" spans="1:5" ht="13.5" thickTop="1" x14ac:dyDescent="0.2">
      <c r="B63" s="87"/>
      <c r="C63" s="41"/>
      <c r="D63" s="11"/>
    </row>
    <row r="64" spans="1:5" x14ac:dyDescent="0.2">
      <c r="B64" s="11"/>
      <c r="C64" s="11"/>
      <c r="D64" s="11"/>
    </row>
    <row r="65" spans="2:4" x14ac:dyDescent="0.2">
      <c r="B65" s="11"/>
      <c r="C65" s="11"/>
      <c r="D65" s="11"/>
    </row>
    <row r="66" spans="2:4" x14ac:dyDescent="0.2">
      <c r="B66" s="11"/>
      <c r="C66" s="11"/>
      <c r="D66" s="11"/>
    </row>
    <row r="67" spans="2:4" x14ac:dyDescent="0.2">
      <c r="B67" s="11"/>
      <c r="C67" s="11"/>
      <c r="D67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Footer>&amp;CPage 9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workbookViewId="0">
      <pane xSplit="2" ySplit="7" topLeftCell="C8" activePane="bottomRight" state="frozen"/>
      <selection activeCell="G32" sqref="G32"/>
      <selection pane="topRight" activeCell="G32" sqref="G32"/>
      <selection pane="bottomLeft" activeCell="G32" sqref="G32"/>
      <selection pane="bottomRight" activeCell="D30" sqref="D30"/>
    </sheetView>
  </sheetViews>
  <sheetFormatPr defaultRowHeight="12.75" x14ac:dyDescent="0.2"/>
  <cols>
    <col min="2" max="2" width="13.85546875" customWidth="1"/>
    <col min="3" max="3" width="10.85546875" customWidth="1"/>
    <col min="4" max="4" width="10.140625" bestFit="1" customWidth="1"/>
    <col min="5" max="5" width="10.5703125" customWidth="1"/>
    <col min="6" max="6" width="10.140625" customWidth="1"/>
    <col min="7" max="7" width="10" customWidth="1"/>
    <col min="8" max="9" width="10.28515625" customWidth="1"/>
    <col min="10" max="10" width="10.5703125" customWidth="1"/>
    <col min="11" max="11" width="11.42578125" customWidth="1"/>
    <col min="12" max="13" width="11" customWidth="1"/>
    <col min="14" max="14" width="11.85546875" customWidth="1"/>
    <col min="15" max="15" width="10.7109375" customWidth="1"/>
    <col min="16" max="16" width="12.7109375" customWidth="1"/>
    <col min="18" max="18" width="9.7109375" bestFit="1" customWidth="1"/>
  </cols>
  <sheetData>
    <row r="1" spans="1:18" ht="15.75" x14ac:dyDescent="0.25">
      <c r="A1" s="2" t="s">
        <v>27</v>
      </c>
      <c r="B1" s="2"/>
      <c r="C1" s="2"/>
    </row>
    <row r="2" spans="1:18" ht="15.75" x14ac:dyDescent="0.25">
      <c r="A2" s="2"/>
      <c r="B2" s="2"/>
      <c r="C2" s="2"/>
    </row>
    <row r="3" spans="1:18" ht="15.75" x14ac:dyDescent="0.25">
      <c r="A3" s="2" t="s">
        <v>398</v>
      </c>
      <c r="B3" s="2"/>
      <c r="C3" s="2"/>
      <c r="E3" s="39" t="str">
        <f>'Page 9'!G3</f>
        <v>2019/20</v>
      </c>
    </row>
    <row r="4" spans="1:18" ht="15.75" x14ac:dyDescent="0.25">
      <c r="A4" s="2"/>
      <c r="B4" s="2"/>
      <c r="C4" s="2"/>
      <c r="D4" s="66"/>
    </row>
    <row r="5" spans="1:18" x14ac:dyDescent="0.2">
      <c r="P5" s="12" t="s">
        <v>480</v>
      </c>
    </row>
    <row r="6" spans="1:18" x14ac:dyDescent="0.2">
      <c r="D6" s="23" t="s">
        <v>1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  <c r="N6" s="23" t="s">
        <v>13</v>
      </c>
      <c r="O6" s="23" t="s">
        <v>14</v>
      </c>
      <c r="P6" s="12" t="s">
        <v>479</v>
      </c>
      <c r="Q6" s="23"/>
    </row>
    <row r="7" spans="1:18" x14ac:dyDescent="0.2">
      <c r="A7" s="1" t="s">
        <v>337</v>
      </c>
      <c r="D7" s="82">
        <f>'BAL SHEET CALCS'!BI23</f>
        <v>2308725</v>
      </c>
      <c r="E7" s="5">
        <f>D36</f>
        <v>1334787.9299999997</v>
      </c>
      <c r="F7" s="5">
        <f t="shared" ref="F7:O7" si="0">E36</f>
        <v>1515671.8599999996</v>
      </c>
      <c r="G7" s="5">
        <f t="shared" si="0"/>
        <v>1199567.7899999996</v>
      </c>
      <c r="H7" s="5">
        <f t="shared" si="0"/>
        <v>1333351.7199999995</v>
      </c>
      <c r="I7" s="5">
        <f t="shared" si="0"/>
        <v>768888.64999999956</v>
      </c>
      <c r="J7" s="5">
        <f t="shared" si="0"/>
        <v>661529.57999999938</v>
      </c>
      <c r="K7" s="5">
        <f t="shared" si="0"/>
        <v>1639713.5099999993</v>
      </c>
      <c r="L7" s="5">
        <f t="shared" si="0"/>
        <v>1767797.4399999992</v>
      </c>
      <c r="M7" s="5">
        <f t="shared" si="0"/>
        <v>1444433.3699999992</v>
      </c>
      <c r="N7" s="5">
        <f t="shared" si="0"/>
        <v>1610517.2999999991</v>
      </c>
      <c r="O7" s="5">
        <f t="shared" si="0"/>
        <v>1785576.2299999991</v>
      </c>
      <c r="P7" s="22">
        <f>D7</f>
        <v>2308725</v>
      </c>
      <c r="R7" s="5"/>
    </row>
    <row r="8" spans="1:18" x14ac:dyDescent="0.2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"/>
      <c r="R8" s="5"/>
    </row>
    <row r="9" spans="1:18" x14ac:dyDescent="0.2">
      <c r="A9" s="1" t="s">
        <v>203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R9" s="5"/>
    </row>
    <row r="10" spans="1:18" x14ac:dyDescent="0.2">
      <c r="A10" s="69" t="s">
        <v>315</v>
      </c>
      <c r="D10" s="5">
        <f>'Page 8'!E13</f>
        <v>302244</v>
      </c>
      <c r="E10" s="5">
        <f>'Page 8'!F13</f>
        <v>302244</v>
      </c>
      <c r="F10" s="5">
        <f>'Page 8'!G13</f>
        <v>302344</v>
      </c>
      <c r="G10" s="5">
        <f>'Page 8'!H13</f>
        <v>302244</v>
      </c>
      <c r="H10" s="5">
        <f>'Page 8'!I13</f>
        <v>302244</v>
      </c>
      <c r="I10" s="5">
        <f>'Page 8'!J13</f>
        <v>303544</v>
      </c>
      <c r="J10" s="5">
        <f>'Page 8'!K13</f>
        <v>303444</v>
      </c>
      <c r="K10" s="5">
        <f>'Page 8'!L13</f>
        <v>303444</v>
      </c>
      <c r="L10" s="5">
        <f>'Page 8'!M13</f>
        <v>303544</v>
      </c>
      <c r="M10" s="5">
        <f>'Page 8'!N13</f>
        <v>303444</v>
      </c>
      <c r="N10" s="5">
        <f>'Page 8'!O13</f>
        <v>303444</v>
      </c>
      <c r="O10" s="5">
        <f>'Page 8'!P13</f>
        <v>303816</v>
      </c>
      <c r="P10" s="22">
        <f t="shared" ref="P10:P18" si="1">SUM(D10:O10)</f>
        <v>3636000</v>
      </c>
      <c r="Q10" s="72"/>
      <c r="R10" s="5"/>
    </row>
    <row r="11" spans="1:18" x14ac:dyDescent="0.2">
      <c r="A11" s="69" t="s">
        <v>338</v>
      </c>
      <c r="D11" s="5">
        <f>'Page 8'!E17</f>
        <v>0</v>
      </c>
      <c r="E11" s="5">
        <f>'Page 8'!F17</f>
        <v>0</v>
      </c>
      <c r="F11" s="5">
        <f>'Page 8'!G17</f>
        <v>11700</v>
      </c>
      <c r="G11" s="5">
        <f>'Page 8'!H17</f>
        <v>0</v>
      </c>
      <c r="H11" s="5">
        <f>'Page 8'!I17</f>
        <v>0</v>
      </c>
      <c r="I11" s="5">
        <f>'Page 8'!J17</f>
        <v>11700</v>
      </c>
      <c r="J11" s="5">
        <f>'Page 8'!K17</f>
        <v>0</v>
      </c>
      <c r="K11" s="5">
        <f>'Page 8'!L17</f>
        <v>0</v>
      </c>
      <c r="L11" s="5">
        <f>'Page 8'!M17</f>
        <v>11700</v>
      </c>
      <c r="M11" s="5">
        <f>'Page 8'!N17</f>
        <v>0</v>
      </c>
      <c r="N11" s="5">
        <f>'Page 8'!O17</f>
        <v>0</v>
      </c>
      <c r="O11" s="5">
        <f>'Page 8'!P17</f>
        <v>11900</v>
      </c>
      <c r="P11" s="22">
        <f t="shared" si="1"/>
        <v>47000</v>
      </c>
      <c r="Q11" s="72"/>
      <c r="R11" s="5"/>
    </row>
    <row r="12" spans="1:18" ht="12" customHeight="1" x14ac:dyDescent="0.2">
      <c r="A12" s="69" t="s">
        <v>341</v>
      </c>
      <c r="D12" s="5">
        <f>'Page 8'!E26</f>
        <v>170925</v>
      </c>
      <c r="E12" s="5">
        <f>'Page 8'!F26</f>
        <v>224925</v>
      </c>
      <c r="F12" s="5">
        <f>'Page 8'!G26</f>
        <v>236925</v>
      </c>
      <c r="G12" s="5">
        <f>'Page 8'!H26</f>
        <v>59425</v>
      </c>
      <c r="H12" s="5">
        <f>'Page 8'!I26</f>
        <v>10225</v>
      </c>
      <c r="I12" s="5">
        <f>'Page 8'!J26</f>
        <v>5425</v>
      </c>
      <c r="J12" s="5">
        <f>'Page 8'!K26</f>
        <v>4925</v>
      </c>
      <c r="K12" s="5">
        <f>'Page 8'!L26</f>
        <v>4925</v>
      </c>
      <c r="L12" s="5">
        <f>'Page 8'!M26</f>
        <v>4925</v>
      </c>
      <c r="M12" s="5">
        <f>'Page 8'!N26</f>
        <v>4925</v>
      </c>
      <c r="N12" s="5">
        <f>'Page 8'!O26</f>
        <v>4925</v>
      </c>
      <c r="O12" s="5">
        <f>'Page 8'!P26</f>
        <v>5875</v>
      </c>
      <c r="P12" s="22">
        <f t="shared" si="1"/>
        <v>738350</v>
      </c>
      <c r="Q12" s="72"/>
      <c r="R12" s="5"/>
    </row>
    <row r="13" spans="1:18" x14ac:dyDescent="0.2">
      <c r="A13" s="69" t="s">
        <v>339</v>
      </c>
      <c r="B13" s="1"/>
      <c r="D13" s="5">
        <f>'Page 8'!E46</f>
        <v>0</v>
      </c>
      <c r="E13" s="5">
        <f>'Page 8'!F46</f>
        <v>0</v>
      </c>
      <c r="F13" s="5">
        <f>'Page 8'!G46</f>
        <v>0</v>
      </c>
      <c r="G13" s="5">
        <f>'Page 8'!H46</f>
        <v>0</v>
      </c>
      <c r="H13" s="5">
        <f>'Page 8'!I46</f>
        <v>0</v>
      </c>
      <c r="I13" s="5">
        <f>'Page 8'!J46</f>
        <v>0</v>
      </c>
      <c r="J13" s="5">
        <f>'Page 8'!K46</f>
        <v>0</v>
      </c>
      <c r="K13" s="5">
        <f>'Page 8'!L46</f>
        <v>0</v>
      </c>
      <c r="L13" s="5">
        <f>'Page 8'!M46</f>
        <v>0</v>
      </c>
      <c r="M13" s="5">
        <f>'Page 8'!N46</f>
        <v>0</v>
      </c>
      <c r="N13" s="5">
        <f>'Page 8'!O46</f>
        <v>0</v>
      </c>
      <c r="O13" s="5">
        <f>'Page 8'!P46</f>
        <v>0</v>
      </c>
      <c r="P13" s="22">
        <f t="shared" si="1"/>
        <v>0</v>
      </c>
      <c r="Q13" s="72"/>
      <c r="R13" s="5"/>
    </row>
    <row r="14" spans="1:18" x14ac:dyDescent="0.2">
      <c r="A14" s="69" t="s">
        <v>340</v>
      </c>
      <c r="D14" s="5">
        <f>'Page 8'!E52</f>
        <v>0</v>
      </c>
      <c r="E14" s="5">
        <f>'Page 8'!F52</f>
        <v>0</v>
      </c>
      <c r="F14" s="5">
        <f>'Page 8'!G52</f>
        <v>200</v>
      </c>
      <c r="G14" s="5">
        <f>'Page 8'!H52</f>
        <v>0</v>
      </c>
      <c r="H14" s="5">
        <f>'Page 8'!I52</f>
        <v>0</v>
      </c>
      <c r="I14" s="5">
        <f>'Page 8'!J52</f>
        <v>400</v>
      </c>
      <c r="J14" s="5">
        <f>'Page 8'!K52</f>
        <v>0</v>
      </c>
      <c r="K14" s="5">
        <f>'Page 8'!L52</f>
        <v>0</v>
      </c>
      <c r="L14" s="5">
        <f>'Page 8'!M52</f>
        <v>700</v>
      </c>
      <c r="M14" s="5">
        <f>'Page 8'!N52</f>
        <v>0</v>
      </c>
      <c r="N14" s="5">
        <f>'Page 8'!O52</f>
        <v>0</v>
      </c>
      <c r="O14" s="5">
        <f>'Page 8'!P52</f>
        <v>900</v>
      </c>
      <c r="P14" s="22">
        <f t="shared" si="1"/>
        <v>2200</v>
      </c>
      <c r="Q14" s="72"/>
      <c r="R14" s="5"/>
    </row>
    <row r="15" spans="1:18" x14ac:dyDescent="0.2">
      <c r="A15" s="69" t="s">
        <v>336</v>
      </c>
      <c r="D15" s="5">
        <f>'Page 9'!D20</f>
        <v>0</v>
      </c>
      <c r="E15" s="5">
        <f>'Page 9'!E20</f>
        <v>0</v>
      </c>
      <c r="F15" s="5">
        <f>'Page 9'!F20</f>
        <v>0</v>
      </c>
      <c r="G15" s="5">
        <f>'Page 9'!G20</f>
        <v>0</v>
      </c>
      <c r="H15" s="5">
        <f>'Page 9'!H20</f>
        <v>0</v>
      </c>
      <c r="I15" s="5">
        <f>'Page 9'!I20</f>
        <v>0</v>
      </c>
      <c r="J15" s="5">
        <f>'Page 9'!J20</f>
        <v>0</v>
      </c>
      <c r="K15" s="5">
        <f>'Page 9'!K20</f>
        <v>0</v>
      </c>
      <c r="L15" s="5">
        <f>'Page 9'!L20</f>
        <v>0</v>
      </c>
      <c r="M15" s="5">
        <f>'Page 9'!M20</f>
        <v>0</v>
      </c>
      <c r="N15" s="5">
        <f>'Page 9'!N20</f>
        <v>0</v>
      </c>
      <c r="O15" s="5">
        <f>'Page 9'!O20</f>
        <v>0</v>
      </c>
      <c r="P15" s="22">
        <f t="shared" si="1"/>
        <v>0</v>
      </c>
      <c r="Q15" s="72"/>
      <c r="R15" s="5"/>
    </row>
    <row r="16" spans="1:18" x14ac:dyDescent="0.2">
      <c r="A16" s="69" t="s">
        <v>424</v>
      </c>
      <c r="D16" s="5">
        <f>'Page 9'!D21</f>
        <v>0</v>
      </c>
      <c r="E16" s="5">
        <f>'Page 9'!E21</f>
        <v>0</v>
      </c>
      <c r="F16" s="5">
        <f>'Page 9'!F21</f>
        <v>0</v>
      </c>
      <c r="G16" s="5">
        <f>'Page 9'!G21</f>
        <v>0</v>
      </c>
      <c r="H16" s="5">
        <f>'Page 9'!H21</f>
        <v>0</v>
      </c>
      <c r="I16" s="5">
        <f>'Page 9'!I21</f>
        <v>0</v>
      </c>
      <c r="J16" s="5">
        <f>'Page 9'!J21</f>
        <v>822000</v>
      </c>
      <c r="K16" s="5">
        <f>'Page 9'!K21</f>
        <v>0</v>
      </c>
      <c r="L16" s="5">
        <f>'Page 9'!L21</f>
        <v>0</v>
      </c>
      <c r="M16" s="5">
        <f>'Page 9'!M21</f>
        <v>0</v>
      </c>
      <c r="N16" s="5">
        <f>'Page 9'!N21</f>
        <v>0</v>
      </c>
      <c r="O16" s="5">
        <f>'Page 9'!O21</f>
        <v>0</v>
      </c>
      <c r="P16" s="22">
        <f t="shared" si="1"/>
        <v>822000</v>
      </c>
      <c r="Q16" s="72"/>
      <c r="R16" s="5"/>
    </row>
    <row r="17" spans="1:18" x14ac:dyDescent="0.2">
      <c r="A17" s="69" t="s">
        <v>342</v>
      </c>
      <c r="D17" s="5">
        <f>'Page 9'!D25</f>
        <v>1000000</v>
      </c>
      <c r="E17" s="5">
        <f>'Page 9'!E25</f>
        <v>0</v>
      </c>
      <c r="F17" s="5">
        <f>'Page 9'!F25</f>
        <v>0</v>
      </c>
      <c r="G17" s="5">
        <f>'Page 9'!G25</f>
        <v>0</v>
      </c>
      <c r="H17" s="5">
        <f>'Page 9'!H25</f>
        <v>0</v>
      </c>
      <c r="I17" s="5">
        <f>'Page 9'!I25</f>
        <v>0</v>
      </c>
      <c r="J17" s="5">
        <f>'Page 9'!J25</f>
        <v>0</v>
      </c>
      <c r="K17" s="5">
        <f>'Page 9'!K25</f>
        <v>0</v>
      </c>
      <c r="L17" s="5">
        <f>'Page 9'!L25</f>
        <v>0</v>
      </c>
      <c r="M17" s="5">
        <f>'Page 9'!M25</f>
        <v>0</v>
      </c>
      <c r="N17" s="5">
        <f>'Page 9'!N25</f>
        <v>0</v>
      </c>
      <c r="O17" s="5">
        <f>'Page 9'!O25</f>
        <v>0</v>
      </c>
      <c r="P17" s="22">
        <f t="shared" si="1"/>
        <v>1000000</v>
      </c>
      <c r="Q17" s="69"/>
      <c r="R17" s="5"/>
    </row>
    <row r="18" spans="1:18" x14ac:dyDescent="0.2"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22">
        <f t="shared" si="1"/>
        <v>0</v>
      </c>
      <c r="R18" s="5"/>
    </row>
    <row r="19" spans="1:18" x14ac:dyDescent="0.2">
      <c r="D19" s="7">
        <f t="shared" ref="D19:P19" si="2">SUM(D10:D18)</f>
        <v>1473169</v>
      </c>
      <c r="E19" s="7">
        <f t="shared" si="2"/>
        <v>527169</v>
      </c>
      <c r="F19" s="7">
        <f t="shared" si="2"/>
        <v>551169</v>
      </c>
      <c r="G19" s="7">
        <f t="shared" si="2"/>
        <v>361669</v>
      </c>
      <c r="H19" s="7">
        <f t="shared" si="2"/>
        <v>312469</v>
      </c>
      <c r="I19" s="7">
        <f t="shared" si="2"/>
        <v>321069</v>
      </c>
      <c r="J19" s="7">
        <f t="shared" si="2"/>
        <v>1130369</v>
      </c>
      <c r="K19" s="7">
        <f t="shared" si="2"/>
        <v>308369</v>
      </c>
      <c r="L19" s="7">
        <f t="shared" si="2"/>
        <v>320869</v>
      </c>
      <c r="M19" s="7">
        <f t="shared" si="2"/>
        <v>308369</v>
      </c>
      <c r="N19" s="7">
        <f t="shared" si="2"/>
        <v>308369</v>
      </c>
      <c r="O19" s="7">
        <f t="shared" si="2"/>
        <v>322491</v>
      </c>
      <c r="P19" s="24">
        <f t="shared" si="2"/>
        <v>6245550</v>
      </c>
      <c r="Q19" s="5"/>
      <c r="R19" s="5"/>
    </row>
    <row r="20" spans="1:18" x14ac:dyDescent="0.2">
      <c r="A20" s="1" t="s">
        <v>343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"/>
      <c r="R20" s="5"/>
    </row>
    <row r="21" spans="1:18" x14ac:dyDescent="0.2">
      <c r="A21" s="69" t="s">
        <v>63</v>
      </c>
      <c r="B21" s="69"/>
      <c r="C21" s="69"/>
      <c r="D21" s="72">
        <f>'Page 6'!D16</f>
        <v>68800</v>
      </c>
      <c r="E21" s="72">
        <f>'Page 6'!E16</f>
        <v>71800</v>
      </c>
      <c r="F21" s="72">
        <f>'Page 6'!F16</f>
        <v>71900</v>
      </c>
      <c r="G21" s="72">
        <f>'Page 6'!G16</f>
        <v>71800</v>
      </c>
      <c r="H21" s="72">
        <f>'Page 6'!H16</f>
        <v>71800</v>
      </c>
      <c r="I21" s="72">
        <f>'Page 6'!I16</f>
        <v>71900</v>
      </c>
      <c r="J21" s="72">
        <f>'Page 6'!J16</f>
        <v>79000</v>
      </c>
      <c r="K21" s="72">
        <f>'Page 6'!K16</f>
        <v>79000</v>
      </c>
      <c r="L21" s="72">
        <f>'Page 6'!L16</f>
        <v>79100</v>
      </c>
      <c r="M21" s="72">
        <f>'Page 6'!M16</f>
        <v>79000</v>
      </c>
      <c r="N21" s="72">
        <f>'Page 6'!N16</f>
        <v>79000</v>
      </c>
      <c r="O21" s="72">
        <f>'Page 6'!O16</f>
        <v>78900</v>
      </c>
      <c r="P21" s="22">
        <f t="shared" ref="P21:P32" si="3">SUM(D21:O21)</f>
        <v>902000</v>
      </c>
      <c r="R21" s="5"/>
    </row>
    <row r="22" spans="1:18" x14ac:dyDescent="0.2">
      <c r="A22" s="69" t="s">
        <v>289</v>
      </c>
      <c r="D22" s="5">
        <f>'Page 6'!D23-'Page 6'!D21</f>
        <v>87800</v>
      </c>
      <c r="E22" s="5">
        <f>'Page 6'!E23-'Page 6'!E21</f>
        <v>50800</v>
      </c>
      <c r="F22" s="5">
        <f>'Page 6'!F23-'Page 6'!F21</f>
        <v>60500</v>
      </c>
      <c r="G22" s="5">
        <f>'Page 6'!G23-'Page 6'!G21</f>
        <v>51500</v>
      </c>
      <c r="H22" s="5">
        <f>'Page 6'!H23-'Page 6'!H21</f>
        <v>50500</v>
      </c>
      <c r="I22" s="5">
        <f>'Page 6'!I23-'Page 6'!I21</f>
        <v>77500</v>
      </c>
      <c r="J22" s="5">
        <f>'Page 6'!J23-'Page 6'!J21</f>
        <v>53000</v>
      </c>
      <c r="K22" s="5">
        <f>'Page 6'!K23-'Page 6'!K21</f>
        <v>47700</v>
      </c>
      <c r="L22" s="5">
        <f>'Page 6'!L23-'Page 6'!L21</f>
        <v>75300</v>
      </c>
      <c r="M22" s="5">
        <f>'Page 6'!M23-'Page 6'!M21</f>
        <v>47700</v>
      </c>
      <c r="N22" s="5">
        <f>'Page 6'!N23-'Page 6'!N21</f>
        <v>45700</v>
      </c>
      <c r="O22" s="5">
        <f>'Page 6'!O23-'Page 6'!O21</f>
        <v>72200</v>
      </c>
      <c r="P22" s="22">
        <f t="shared" si="3"/>
        <v>720200</v>
      </c>
      <c r="Q22" s="69"/>
      <c r="R22" s="5"/>
    </row>
    <row r="23" spans="1:18" x14ac:dyDescent="0.2">
      <c r="A23" s="69" t="s">
        <v>56</v>
      </c>
      <c r="D23" s="5">
        <f>'Page 6'!D21</f>
        <v>0</v>
      </c>
      <c r="E23" s="5">
        <f>'Page 6'!E21</f>
        <v>0</v>
      </c>
      <c r="F23" s="5">
        <f>'Page 6'!F21</f>
        <v>0</v>
      </c>
      <c r="G23" s="5">
        <f>'Page 6'!G21</f>
        <v>0</v>
      </c>
      <c r="H23" s="5">
        <f>'Page 6'!H21</f>
        <v>0</v>
      </c>
      <c r="I23" s="5">
        <f>'Page 6'!I21</f>
        <v>27270</v>
      </c>
      <c r="J23" s="5">
        <f>'Page 6'!J21</f>
        <v>0</v>
      </c>
      <c r="K23" s="5">
        <f>'Page 6'!K21</f>
        <v>0</v>
      </c>
      <c r="L23" s="5">
        <f>'Page 6'!L21</f>
        <v>0</v>
      </c>
      <c r="M23" s="5">
        <f>'Page 6'!M21</f>
        <v>0</v>
      </c>
      <c r="N23" s="5">
        <f>'Page 6'!N21</f>
        <v>0</v>
      </c>
      <c r="O23" s="5">
        <f>'Page 6'!O21+'Page 6'!P21</f>
        <v>27270</v>
      </c>
      <c r="P23" s="22">
        <f t="shared" si="3"/>
        <v>54540</v>
      </c>
      <c r="Q23" s="69"/>
      <c r="R23" s="5"/>
    </row>
    <row r="24" spans="1:18" x14ac:dyDescent="0.2">
      <c r="A24" s="69" t="s">
        <v>292</v>
      </c>
      <c r="D24" s="5">
        <f>'Page 6'!D47</f>
        <v>42300</v>
      </c>
      <c r="E24" s="5">
        <f>'Page 6'!E47</f>
        <v>100</v>
      </c>
      <c r="F24" s="5">
        <f>'Page 6'!F47</f>
        <v>120250</v>
      </c>
      <c r="G24" s="5">
        <f>'Page 6'!G47</f>
        <v>100</v>
      </c>
      <c r="H24" s="5">
        <f>'Page 6'!H47</f>
        <v>500</v>
      </c>
      <c r="I24" s="5">
        <f>'Page 6'!I47</f>
        <v>39450</v>
      </c>
      <c r="J24" s="5">
        <f>'Page 6'!J47</f>
        <v>12500</v>
      </c>
      <c r="K24" s="5">
        <f>'Page 6'!K47</f>
        <v>100</v>
      </c>
      <c r="L24" s="5">
        <f>'Page 6'!L47</f>
        <v>33625</v>
      </c>
      <c r="M24" s="5">
        <f>'Page 6'!M47</f>
        <v>8000</v>
      </c>
      <c r="N24" s="5">
        <f>'Page 6'!N47</f>
        <v>925</v>
      </c>
      <c r="O24" s="5">
        <f>'Page 6'!O47</f>
        <v>45450</v>
      </c>
      <c r="P24" s="22">
        <f t="shared" si="3"/>
        <v>303300</v>
      </c>
      <c r="R24" s="5"/>
    </row>
    <row r="25" spans="1:18" x14ac:dyDescent="0.2">
      <c r="A25" s="69" t="s">
        <v>202</v>
      </c>
      <c r="D25" s="5">
        <f>'Page 6'!D52</f>
        <v>164000</v>
      </c>
      <c r="E25" s="5">
        <f>'Page 6'!E52</f>
        <v>217600</v>
      </c>
      <c r="F25" s="5">
        <f>'Page 6'!F52</f>
        <v>235200</v>
      </c>
      <c r="G25" s="5">
        <f>'Page 6'!G52</f>
        <v>52600</v>
      </c>
      <c r="H25" s="5">
        <f>'Page 6'!H52</f>
        <v>2700</v>
      </c>
      <c r="I25" s="5">
        <f>'Page 6'!I52</f>
        <v>9800</v>
      </c>
      <c r="J25" s="5">
        <f>'Page 6'!J52</f>
        <v>1700</v>
      </c>
      <c r="K25" s="5">
        <f>'Page 6'!K52</f>
        <v>1600</v>
      </c>
      <c r="L25" s="5">
        <f>'Page 6'!L52</f>
        <v>3700</v>
      </c>
      <c r="M25" s="5">
        <f>'Page 6'!M52</f>
        <v>1600</v>
      </c>
      <c r="N25" s="5">
        <f>'Page 6'!N52</f>
        <v>1700</v>
      </c>
      <c r="O25" s="5">
        <f>'Page 6'!O52</f>
        <v>7600</v>
      </c>
      <c r="P25" s="22">
        <f t="shared" si="3"/>
        <v>699800</v>
      </c>
      <c r="R25" s="5"/>
    </row>
    <row r="26" spans="1:18" x14ac:dyDescent="0.2">
      <c r="A26" s="69" t="s">
        <v>259</v>
      </c>
      <c r="D26" s="5">
        <f>'Page 8'!E53</f>
        <v>0</v>
      </c>
      <c r="E26" s="5">
        <f>'Page 8'!F53</f>
        <v>0</v>
      </c>
      <c r="F26" s="5">
        <f>'Page 8'!G53</f>
        <v>186438</v>
      </c>
      <c r="G26" s="5">
        <f>'Page 8'!H53</f>
        <v>0</v>
      </c>
      <c r="H26" s="5">
        <f>'Page 8'!I53</f>
        <v>0</v>
      </c>
      <c r="I26" s="5">
        <f>'Page 8'!J53</f>
        <v>184523</v>
      </c>
      <c r="J26" s="5">
        <f>'Page 8'!K53</f>
        <v>0</v>
      </c>
      <c r="K26" s="5">
        <f>'Page 8'!L53</f>
        <v>0</v>
      </c>
      <c r="L26" s="5">
        <f>'Page 8'!M53</f>
        <v>184523</v>
      </c>
      <c r="M26" s="5">
        <f>'Page 8'!N53</f>
        <v>0</v>
      </c>
      <c r="N26" s="5">
        <f>'Page 8'!O53</f>
        <v>0</v>
      </c>
      <c r="O26" s="5">
        <f>'Page 8'!P53</f>
        <v>184523</v>
      </c>
      <c r="P26" s="22">
        <f t="shared" si="3"/>
        <v>740007</v>
      </c>
      <c r="Q26" s="69"/>
      <c r="R26" s="5"/>
    </row>
    <row r="27" spans="1:18" x14ac:dyDescent="0.2">
      <c r="A27" s="69" t="s">
        <v>423</v>
      </c>
      <c r="D27" s="5">
        <v>0</v>
      </c>
      <c r="E27" s="5">
        <v>0</v>
      </c>
      <c r="F27" s="5">
        <v>175000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22">
        <f t="shared" si="3"/>
        <v>175000</v>
      </c>
      <c r="Q27" s="69"/>
      <c r="R27" s="5"/>
    </row>
    <row r="28" spans="1:18" x14ac:dyDescent="0.2">
      <c r="A28" s="69" t="s">
        <v>344</v>
      </c>
      <c r="C28" s="69"/>
      <c r="D28" s="5">
        <f>'Page 9'!D13</f>
        <v>855819</v>
      </c>
      <c r="E28" s="5">
        <f>'Page 9'!E13</f>
        <v>0</v>
      </c>
      <c r="F28" s="5">
        <f>'Page 9'!F13</f>
        <v>2000</v>
      </c>
      <c r="G28" s="5">
        <f>'Page 9'!G13</f>
        <v>45900</v>
      </c>
      <c r="H28" s="5">
        <f>'Page 9'!H13</f>
        <v>745447</v>
      </c>
      <c r="I28" s="5">
        <f>'Page 9'!I13</f>
        <v>2000</v>
      </c>
      <c r="J28" s="5">
        <f>'Page 9'!J13</f>
        <v>0</v>
      </c>
      <c r="K28" s="5">
        <f>'Page 9'!K13</f>
        <v>45900</v>
      </c>
      <c r="L28" s="5">
        <f>'Page 9'!L13</f>
        <v>252000</v>
      </c>
      <c r="M28" s="5">
        <f>'Page 9'!M13</f>
        <v>0</v>
      </c>
      <c r="N28" s="5">
        <f>'Page 9'!N13</f>
        <v>0</v>
      </c>
      <c r="O28" s="5">
        <f>'Page 9'!O13</f>
        <v>49800</v>
      </c>
      <c r="P28" s="22">
        <f t="shared" si="3"/>
        <v>1998866</v>
      </c>
      <c r="Q28" s="69"/>
      <c r="R28" s="5"/>
    </row>
    <row r="29" spans="1:18" x14ac:dyDescent="0.2">
      <c r="A29" s="69" t="s">
        <v>345</v>
      </c>
      <c r="D29" s="5">
        <f>'Page 9'!D14</f>
        <v>0</v>
      </c>
      <c r="E29" s="5">
        <f>'Page 9'!E14</f>
        <v>0</v>
      </c>
      <c r="F29" s="5">
        <f>'Page 9'!F14</f>
        <v>10000</v>
      </c>
      <c r="G29" s="5">
        <f>'Page 9'!G14</f>
        <v>0</v>
      </c>
      <c r="H29" s="5">
        <f>'Page 9'!H14</f>
        <v>0</v>
      </c>
      <c r="I29" s="5">
        <f>'Page 9'!I14</f>
        <v>10000</v>
      </c>
      <c r="J29" s="5">
        <f>'Page 9'!J14</f>
        <v>0</v>
      </c>
      <c r="K29" s="5">
        <f>'Page 9'!K14</f>
        <v>0</v>
      </c>
      <c r="L29" s="5">
        <f>'Page 9'!L14</f>
        <v>10000</v>
      </c>
      <c r="M29" s="5">
        <f>'Page 9'!M14</f>
        <v>0</v>
      </c>
      <c r="N29" s="5">
        <f>'Page 9'!N14</f>
        <v>0</v>
      </c>
      <c r="O29" s="5">
        <f>'Page 9'!O14</f>
        <v>5000</v>
      </c>
      <c r="P29" s="22">
        <f t="shared" si="3"/>
        <v>35000</v>
      </c>
      <c r="Q29" s="69"/>
      <c r="R29" s="5"/>
    </row>
    <row r="30" spans="1:18" x14ac:dyDescent="0.2">
      <c r="A30" s="69" t="s">
        <v>346</v>
      </c>
      <c r="B30" s="69"/>
      <c r="C30" s="69"/>
      <c r="D30" s="72">
        <f>'Page 8'!E55</f>
        <v>3985.07</v>
      </c>
      <c r="E30" s="72">
        <f>'Page 8'!F55</f>
        <v>3985.07</v>
      </c>
      <c r="F30" s="72">
        <f>'Page 8'!G55</f>
        <v>3985.07</v>
      </c>
      <c r="G30" s="72">
        <f>'Page 8'!H55</f>
        <v>3985.07</v>
      </c>
      <c r="H30" s="72">
        <f>'Page 8'!I55</f>
        <v>3985.07</v>
      </c>
      <c r="I30" s="72">
        <f>'Page 8'!J55</f>
        <v>3985.07</v>
      </c>
      <c r="J30" s="72">
        <f>'Page 8'!K55</f>
        <v>3985.07</v>
      </c>
      <c r="K30" s="72">
        <f>'Page 8'!L55</f>
        <v>3985.07</v>
      </c>
      <c r="L30" s="72">
        <f>'Page 8'!M55</f>
        <v>3985.07</v>
      </c>
      <c r="M30" s="72">
        <f>'Page 8'!N55</f>
        <v>3985.07</v>
      </c>
      <c r="N30" s="72">
        <f>'Page 8'!O55</f>
        <v>3985.07</v>
      </c>
      <c r="O30" s="72">
        <f>'Page 8'!P55</f>
        <v>3981.07</v>
      </c>
      <c r="P30" s="22">
        <f t="shared" si="3"/>
        <v>47816.840000000004</v>
      </c>
      <c r="R30" s="5"/>
    </row>
    <row r="31" spans="1:18" x14ac:dyDescent="0.2">
      <c r="A31" s="69" t="s">
        <v>377</v>
      </c>
      <c r="B31" s="69"/>
      <c r="C31" s="69"/>
      <c r="D31" s="72">
        <v>1222402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22">
        <f t="shared" si="3"/>
        <v>1222402</v>
      </c>
      <c r="R31" s="5"/>
    </row>
    <row r="32" spans="1:18" x14ac:dyDescent="0.2">
      <c r="A32" s="69" t="s">
        <v>492</v>
      </c>
      <c r="D32" s="5">
        <v>2000</v>
      </c>
      <c r="E32" s="5">
        <v>2000</v>
      </c>
      <c r="F32" s="5">
        <v>2000</v>
      </c>
      <c r="G32" s="5">
        <v>2000</v>
      </c>
      <c r="H32" s="5">
        <v>2000</v>
      </c>
      <c r="I32" s="5">
        <v>2000</v>
      </c>
      <c r="J32" s="5">
        <v>2000</v>
      </c>
      <c r="K32" s="5">
        <v>2000</v>
      </c>
      <c r="L32" s="5">
        <v>2000</v>
      </c>
      <c r="M32" s="5">
        <v>2000</v>
      </c>
      <c r="N32" s="5">
        <v>2000</v>
      </c>
      <c r="O32" s="5">
        <v>2000</v>
      </c>
      <c r="P32" s="22">
        <f t="shared" si="3"/>
        <v>24000</v>
      </c>
      <c r="R32" s="5"/>
    </row>
    <row r="33" spans="1:18" x14ac:dyDescent="0.2">
      <c r="D33" s="7">
        <f>SUM(D21:D32)</f>
        <v>2447106.0700000003</v>
      </c>
      <c r="E33" s="7">
        <f>SUM(E21:E32)</f>
        <v>346285.07</v>
      </c>
      <c r="F33" s="7">
        <f t="shared" ref="F33:O33" si="4">SUM(F21:F32)</f>
        <v>867273.07</v>
      </c>
      <c r="G33" s="7">
        <f t="shared" si="4"/>
        <v>227885.07</v>
      </c>
      <c r="H33" s="7">
        <f t="shared" si="4"/>
        <v>876932.07</v>
      </c>
      <c r="I33" s="7">
        <f t="shared" si="4"/>
        <v>428428.07</v>
      </c>
      <c r="J33" s="7">
        <f t="shared" si="4"/>
        <v>152185.07</v>
      </c>
      <c r="K33" s="7">
        <f t="shared" si="4"/>
        <v>180285.07</v>
      </c>
      <c r="L33" s="7">
        <f t="shared" si="4"/>
        <v>644233.06999999995</v>
      </c>
      <c r="M33" s="7">
        <f t="shared" si="4"/>
        <v>142285.07</v>
      </c>
      <c r="N33" s="7">
        <f t="shared" si="4"/>
        <v>133310.07</v>
      </c>
      <c r="O33" s="7">
        <f t="shared" si="4"/>
        <v>476724.07</v>
      </c>
      <c r="P33" s="24">
        <f>SUM(P21:P32)</f>
        <v>6922931.8399999999</v>
      </c>
      <c r="Q33" s="5"/>
      <c r="R33" s="5"/>
    </row>
    <row r="34" spans="1:18" x14ac:dyDescent="0.2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  <c r="R34" s="5"/>
    </row>
    <row r="35" spans="1:18" x14ac:dyDescent="0.2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"/>
      <c r="R35" s="5"/>
    </row>
    <row r="36" spans="1:18" ht="13.5" thickBot="1" x14ac:dyDescent="0.25">
      <c r="A36" s="1" t="s">
        <v>347</v>
      </c>
      <c r="D36" s="9">
        <f t="shared" ref="D36:P36" si="5">D7+D19-D33</f>
        <v>1334787.9299999997</v>
      </c>
      <c r="E36" s="9">
        <f t="shared" si="5"/>
        <v>1515671.8599999996</v>
      </c>
      <c r="F36" s="9">
        <f t="shared" si="5"/>
        <v>1199567.7899999996</v>
      </c>
      <c r="G36" s="9">
        <f t="shared" si="5"/>
        <v>1333351.7199999995</v>
      </c>
      <c r="H36" s="9">
        <f t="shared" si="5"/>
        <v>768888.64999999956</v>
      </c>
      <c r="I36" s="9">
        <f>I7+I19-I33</f>
        <v>661529.57999999938</v>
      </c>
      <c r="J36" s="9">
        <f t="shared" si="5"/>
        <v>1639713.5099999993</v>
      </c>
      <c r="K36" s="9">
        <f t="shared" si="5"/>
        <v>1767797.4399999992</v>
      </c>
      <c r="L36" s="9">
        <f t="shared" si="5"/>
        <v>1444433.3699999992</v>
      </c>
      <c r="M36" s="9">
        <f t="shared" si="5"/>
        <v>1610517.2999999991</v>
      </c>
      <c r="N36" s="9">
        <f t="shared" si="5"/>
        <v>1785576.2299999991</v>
      </c>
      <c r="O36" s="9">
        <f t="shared" si="5"/>
        <v>1631343.159999999</v>
      </c>
      <c r="P36" s="25">
        <f t="shared" si="5"/>
        <v>1631343.1600000001</v>
      </c>
      <c r="Q36" s="5"/>
      <c r="R36" s="5"/>
    </row>
    <row r="37" spans="1:18" ht="13.5" thickTop="1" x14ac:dyDescent="0.2"/>
    <row r="38" spans="1:18" x14ac:dyDescent="0.2">
      <c r="D38" s="5"/>
    </row>
    <row r="41" spans="1:18" x14ac:dyDescent="0.2">
      <c r="R41" s="5"/>
    </row>
    <row r="43" spans="1:18" hidden="1" x14ac:dyDescent="0.2">
      <c r="A43" t="s">
        <v>64</v>
      </c>
    </row>
    <row r="44" spans="1:18" hidden="1" x14ac:dyDescent="0.2"/>
    <row r="45" spans="1:18" hidden="1" x14ac:dyDescent="0.2">
      <c r="A45" t="s">
        <v>69</v>
      </c>
    </row>
    <row r="46" spans="1:18" hidden="1" x14ac:dyDescent="0.2"/>
    <row r="47" spans="1:18" hidden="1" x14ac:dyDescent="0.2">
      <c r="A47" t="s">
        <v>68</v>
      </c>
    </row>
    <row r="48" spans="1:18" hidden="1" x14ac:dyDescent="0.2">
      <c r="A48" t="s">
        <v>70</v>
      </c>
    </row>
    <row r="49" spans="1:1" hidden="1" x14ac:dyDescent="0.2">
      <c r="A49" t="s">
        <v>71</v>
      </c>
    </row>
    <row r="50" spans="1:1" hidden="1" x14ac:dyDescent="0.2">
      <c r="A50" t="s">
        <v>72</v>
      </c>
    </row>
    <row r="51" spans="1:1" hidden="1" x14ac:dyDescent="0.2">
      <c r="A51" t="s">
        <v>73</v>
      </c>
    </row>
    <row r="52" spans="1:1" hidden="1" x14ac:dyDescent="0.2"/>
    <row r="53" spans="1:1" hidden="1" x14ac:dyDescent="0.2">
      <c r="A53" t="s">
        <v>66</v>
      </c>
    </row>
    <row r="54" spans="1:1" hidden="1" x14ac:dyDescent="0.2">
      <c r="A54" t="s">
        <v>65</v>
      </c>
    </row>
    <row r="55" spans="1:1" hidden="1" x14ac:dyDescent="0.2">
      <c r="A55" t="s">
        <v>67</v>
      </c>
    </row>
    <row r="56" spans="1:1" hidden="1" x14ac:dyDescent="0.2">
      <c r="A56" t="s">
        <v>74</v>
      </c>
    </row>
    <row r="57" spans="1:1" hidden="1" x14ac:dyDescent="0.2">
      <c r="A57" t="s">
        <v>130</v>
      </c>
    </row>
    <row r="58" spans="1:1" hidden="1" x14ac:dyDescent="0.2">
      <c r="A58" t="s">
        <v>75</v>
      </c>
    </row>
    <row r="59" spans="1:1" hidden="1" x14ac:dyDescent="0.2">
      <c r="A59" t="s">
        <v>76</v>
      </c>
    </row>
    <row r="60" spans="1:1" hidden="1" x14ac:dyDescent="0.2">
      <c r="A60" t="s">
        <v>77</v>
      </c>
    </row>
    <row r="61" spans="1:1" hidden="1" x14ac:dyDescent="0.2">
      <c r="A61" t="s">
        <v>131</v>
      </c>
    </row>
    <row r="62" spans="1:1" hidden="1" x14ac:dyDescent="0.2">
      <c r="A62" t="s">
        <v>78</v>
      </c>
    </row>
    <row r="63" spans="1:1" hidden="1" x14ac:dyDescent="0.2"/>
    <row r="64" spans="1:1" hidden="1" x14ac:dyDescent="0.2">
      <c r="A64" t="s">
        <v>129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Footer>&amp;CPage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8"/>
  <sheetViews>
    <sheetView workbookViewId="0">
      <pane xSplit="3" ySplit="7" topLeftCell="D206" activePane="bottomRight" state="frozen"/>
      <selection activeCell="G32" sqref="G32"/>
      <selection pane="topRight" activeCell="G32" sqref="G32"/>
      <selection pane="bottomLeft" activeCell="G32" sqref="G32"/>
      <selection pane="bottomRight" activeCell="E223" sqref="E223"/>
    </sheetView>
  </sheetViews>
  <sheetFormatPr defaultRowHeight="12.75" x14ac:dyDescent="0.2"/>
  <cols>
    <col min="1" max="4" width="9.140625" style="50"/>
    <col min="5" max="6" width="11.42578125" style="50" customWidth="1"/>
    <col min="7" max="7" width="10.140625" style="50" bestFit="1" customWidth="1"/>
    <col min="8" max="8" width="9.7109375" style="50" bestFit="1" customWidth="1"/>
    <col min="9" max="16384" width="9.140625" style="50"/>
  </cols>
  <sheetData>
    <row r="1" spans="1:7" ht="15.75" x14ac:dyDescent="0.25">
      <c r="A1" s="60" t="s">
        <v>92</v>
      </c>
    </row>
    <row r="2" spans="1:7" x14ac:dyDescent="0.2">
      <c r="A2" s="27"/>
    </row>
    <row r="3" spans="1:7" ht="15.75" x14ac:dyDescent="0.25">
      <c r="A3" s="60" t="s">
        <v>87</v>
      </c>
    </row>
    <row r="5" spans="1:7" x14ac:dyDescent="0.2">
      <c r="A5" s="27" t="s">
        <v>82</v>
      </c>
      <c r="E5" s="43" t="s">
        <v>568</v>
      </c>
      <c r="F5" s="43" t="s">
        <v>570</v>
      </c>
    </row>
    <row r="6" spans="1:7" x14ac:dyDescent="0.2">
      <c r="E6" s="51" t="s">
        <v>88</v>
      </c>
      <c r="F6" s="51" t="s">
        <v>88</v>
      </c>
      <c r="G6" s="27" t="s">
        <v>81</v>
      </c>
    </row>
    <row r="7" spans="1:7" x14ac:dyDescent="0.2">
      <c r="E7" s="52" t="str">
        <f>'Page 11'!F5</f>
        <v>2019/20</v>
      </c>
      <c r="F7" s="52" t="s">
        <v>466</v>
      </c>
      <c r="G7" s="112" t="s">
        <v>237</v>
      </c>
    </row>
    <row r="8" spans="1:7" x14ac:dyDescent="0.2">
      <c r="A8" s="27" t="s">
        <v>97</v>
      </c>
    </row>
    <row r="9" spans="1:7" x14ac:dyDescent="0.2">
      <c r="A9" s="50" t="s">
        <v>55</v>
      </c>
      <c r="E9" s="50">
        <f>'Page 2'!F23</f>
        <v>1122702.5</v>
      </c>
      <c r="F9" s="50">
        <f>'Page 2'!H23</f>
        <v>1160203</v>
      </c>
      <c r="G9" s="50">
        <v>1003423</v>
      </c>
    </row>
    <row r="10" spans="1:7" x14ac:dyDescent="0.2">
      <c r="A10" s="50" t="s">
        <v>98</v>
      </c>
      <c r="E10" s="55">
        <f>'Page 2'!F24</f>
        <v>2500</v>
      </c>
      <c r="F10" s="55">
        <f>'Page 2'!H24</f>
        <v>2500</v>
      </c>
      <c r="G10" s="55">
        <v>0</v>
      </c>
    </row>
    <row r="11" spans="1:7" x14ac:dyDescent="0.2">
      <c r="E11" s="50">
        <f t="shared" ref="E11:F11" si="0">SUM(E9:E10)</f>
        <v>1125202.5</v>
      </c>
      <c r="F11" s="50">
        <f t="shared" si="0"/>
        <v>1162703</v>
      </c>
      <c r="G11" s="50">
        <f>SUM(G9:G10)</f>
        <v>1003423</v>
      </c>
    </row>
    <row r="12" spans="1:7" x14ac:dyDescent="0.2">
      <c r="A12" s="70" t="s">
        <v>373</v>
      </c>
      <c r="E12" s="50">
        <v>809598</v>
      </c>
      <c r="F12" s="50">
        <v>772098</v>
      </c>
      <c r="G12" s="50">
        <v>177561</v>
      </c>
    </row>
    <row r="13" spans="1:7" x14ac:dyDescent="0.2">
      <c r="A13" s="50" t="s">
        <v>158</v>
      </c>
      <c r="E13" s="50">
        <f>'Page 2'!F26</f>
        <v>396800</v>
      </c>
      <c r="F13" s="50">
        <f>'Page 2'!H26</f>
        <v>396800</v>
      </c>
      <c r="G13" s="50">
        <v>303449</v>
      </c>
    </row>
    <row r="14" spans="1:7" x14ac:dyDescent="0.2">
      <c r="A14" s="50" t="s">
        <v>157</v>
      </c>
      <c r="E14" s="50">
        <f>'Page 2'!F27+'Page 2'!F28</f>
        <v>323400</v>
      </c>
      <c r="F14" s="50">
        <f>'Page 2'!H27+'Page 2'!H28</f>
        <v>961000</v>
      </c>
      <c r="G14" s="50">
        <v>243900</v>
      </c>
    </row>
    <row r="16" spans="1:7" x14ac:dyDescent="0.2">
      <c r="A16" s="50" t="s">
        <v>99</v>
      </c>
      <c r="E16" s="53">
        <f>802+9+13+6</f>
        <v>830</v>
      </c>
      <c r="F16" s="53">
        <v>830</v>
      </c>
      <c r="G16" s="53">
        <v>802</v>
      </c>
    </row>
    <row r="19" spans="1:10" x14ac:dyDescent="0.2">
      <c r="A19" s="27" t="s">
        <v>100</v>
      </c>
      <c r="B19" s="27"/>
      <c r="C19" s="27"/>
      <c r="D19" s="27"/>
      <c r="E19" s="27">
        <f t="shared" ref="E19:F19" si="1">E11/E16</f>
        <v>1355.6656626506024</v>
      </c>
      <c r="F19" s="27">
        <f t="shared" si="1"/>
        <v>1400.8469879518073</v>
      </c>
      <c r="G19" s="27">
        <f t="shared" ref="G19" si="2">G11/G16</f>
        <v>1251.1508728179551</v>
      </c>
    </row>
    <row r="20" spans="1:10" x14ac:dyDescent="0.2">
      <c r="A20" s="27" t="s">
        <v>596</v>
      </c>
      <c r="B20" s="27"/>
      <c r="C20" s="27"/>
      <c r="D20" s="27"/>
      <c r="E20" s="27">
        <f>E12/E16</f>
        <v>975.41927710843379</v>
      </c>
      <c r="F20" s="27">
        <f t="shared" ref="F20:G20" si="3">F12/F16</f>
        <v>930.23855421686744</v>
      </c>
      <c r="G20" s="27">
        <f t="shared" si="3"/>
        <v>221.39775561097258</v>
      </c>
    </row>
    <row r="21" spans="1:10" x14ac:dyDescent="0.2">
      <c r="A21" s="27" t="s">
        <v>101</v>
      </c>
      <c r="B21" s="27"/>
      <c r="C21" s="27"/>
      <c r="D21" s="27"/>
      <c r="E21" s="27">
        <f>E13/E16</f>
        <v>478.07228915662648</v>
      </c>
      <c r="F21" s="27">
        <f t="shared" ref="F21:G21" si="4">F13/F16</f>
        <v>478.07228915662648</v>
      </c>
      <c r="G21" s="27">
        <f t="shared" si="4"/>
        <v>378.36533665835412</v>
      </c>
    </row>
    <row r="22" spans="1:10" x14ac:dyDescent="0.2">
      <c r="A22" s="27" t="s">
        <v>102</v>
      </c>
      <c r="B22" s="27"/>
      <c r="C22" s="27"/>
      <c r="D22" s="27"/>
      <c r="E22" s="27">
        <f>E14/E16</f>
        <v>389.63855421686748</v>
      </c>
      <c r="F22" s="27">
        <f t="shared" ref="F22:G22" si="5">F14/F16</f>
        <v>1157.8313253012047</v>
      </c>
      <c r="G22" s="27">
        <f t="shared" si="5"/>
        <v>304.11471321695763</v>
      </c>
    </row>
    <row r="23" spans="1:10" x14ac:dyDescent="0.2">
      <c r="E23" s="54"/>
      <c r="F23" s="54"/>
    </row>
    <row r="25" spans="1:10" x14ac:dyDescent="0.2">
      <c r="A25" s="27" t="s">
        <v>89</v>
      </c>
    </row>
    <row r="26" spans="1:10" x14ac:dyDescent="0.2">
      <c r="A26" s="50" t="s">
        <v>120</v>
      </c>
      <c r="E26" s="50">
        <f>'Page 1'!F16</f>
        <v>1186629</v>
      </c>
      <c r="F26" s="50">
        <f>'Page 1'!H16</f>
        <v>536179</v>
      </c>
      <c r="G26" s="50">
        <v>1349636</v>
      </c>
      <c r="J26" s="70"/>
    </row>
    <row r="27" spans="1:10" x14ac:dyDescent="0.2">
      <c r="A27" s="50" t="s">
        <v>103</v>
      </c>
      <c r="E27" s="50">
        <f>'Page 2'!F30</f>
        <v>965000</v>
      </c>
      <c r="F27" s="50">
        <f>'Page 2'!H30</f>
        <v>926300</v>
      </c>
      <c r="G27" s="50">
        <v>809729</v>
      </c>
      <c r="J27" s="70"/>
    </row>
    <row r="28" spans="1:10" x14ac:dyDescent="0.2">
      <c r="A28" s="70" t="s">
        <v>379</v>
      </c>
      <c r="E28" s="50">
        <f>'Page 5'!E31</f>
        <v>29700</v>
      </c>
      <c r="F28" s="50">
        <f>'Page 5'!G31</f>
        <v>29700</v>
      </c>
      <c r="G28" s="50">
        <v>70104</v>
      </c>
      <c r="J28" s="70"/>
    </row>
    <row r="29" spans="1:10" x14ac:dyDescent="0.2">
      <c r="A29" s="70" t="s">
        <v>378</v>
      </c>
      <c r="E29" s="50">
        <f>-'Page 2'!F17</f>
        <v>-439819</v>
      </c>
      <c r="F29" s="50">
        <f>-'Page 2'!H17</f>
        <v>-439819</v>
      </c>
      <c r="G29" s="50">
        <f>-387318</f>
        <v>-387318</v>
      </c>
      <c r="J29" s="70"/>
    </row>
    <row r="30" spans="1:10" x14ac:dyDescent="0.2">
      <c r="A30" s="70" t="s">
        <v>409</v>
      </c>
      <c r="E30" s="50">
        <f>-24000</f>
        <v>-24000</v>
      </c>
      <c r="F30" s="50">
        <f>-24000</f>
        <v>-24000</v>
      </c>
      <c r="G30" s="50">
        <f>-213097</f>
        <v>-213097</v>
      </c>
      <c r="J30" s="70"/>
    </row>
    <row r="31" spans="1:10" x14ac:dyDescent="0.2">
      <c r="A31" s="70" t="s">
        <v>377</v>
      </c>
      <c r="E31" s="50">
        <f>-1222402</f>
        <v>-1222402</v>
      </c>
      <c r="F31" s="50">
        <v>0</v>
      </c>
      <c r="G31" s="50">
        <f>-196204-1072</f>
        <v>-197276</v>
      </c>
      <c r="J31" s="70"/>
    </row>
    <row r="32" spans="1:10" x14ac:dyDescent="0.2">
      <c r="A32" s="70" t="s">
        <v>437</v>
      </c>
      <c r="E32" s="50">
        <f>-47817</f>
        <v>-47817</v>
      </c>
      <c r="F32" s="50">
        <f>-47320</f>
        <v>-47320</v>
      </c>
      <c r="G32" s="50">
        <f>-42928</f>
        <v>-42928</v>
      </c>
      <c r="J32" s="70"/>
    </row>
    <row r="33" spans="1:10" x14ac:dyDescent="0.2">
      <c r="A33" s="70" t="s">
        <v>263</v>
      </c>
      <c r="E33" s="50">
        <f>-'Page 1'!F22</f>
        <v>0</v>
      </c>
      <c r="F33" s="50">
        <f>'Page 1'!H22</f>
        <v>-497</v>
      </c>
      <c r="G33" s="50">
        <f>-1072</f>
        <v>-1072</v>
      </c>
      <c r="J33" s="70"/>
    </row>
    <row r="34" spans="1:10" x14ac:dyDescent="0.2">
      <c r="A34" s="70" t="s">
        <v>380</v>
      </c>
      <c r="E34" s="50">
        <v>0</v>
      </c>
      <c r="F34" s="50">
        <v>0</v>
      </c>
      <c r="G34" s="50">
        <v>0</v>
      </c>
      <c r="J34" s="70"/>
    </row>
    <row r="35" spans="1:10" x14ac:dyDescent="0.2">
      <c r="A35" s="70" t="s">
        <v>438</v>
      </c>
      <c r="E35" s="50">
        <v>0</v>
      </c>
      <c r="F35" s="50">
        <v>0</v>
      </c>
      <c r="G35" s="50">
        <f>-17</f>
        <v>-17</v>
      </c>
      <c r="J35" s="70"/>
    </row>
    <row r="36" spans="1:10" x14ac:dyDescent="0.2">
      <c r="A36" s="70" t="s">
        <v>381</v>
      </c>
      <c r="E36" s="55">
        <v>0</v>
      </c>
      <c r="F36" s="55">
        <v>0</v>
      </c>
      <c r="G36" s="55">
        <v>0</v>
      </c>
    </row>
    <row r="37" spans="1:10" x14ac:dyDescent="0.2">
      <c r="E37" s="50">
        <f>SUM(E26:E36)</f>
        <v>447291</v>
      </c>
      <c r="F37" s="50">
        <f>SUM(F26:F36)</f>
        <v>980543</v>
      </c>
      <c r="G37" s="50">
        <f>SUM(G26:G36)</f>
        <v>1387761</v>
      </c>
    </row>
    <row r="38" spans="1:10" x14ac:dyDescent="0.2">
      <c r="A38" s="70" t="s">
        <v>104</v>
      </c>
      <c r="E38" s="55">
        <f>'Page 1'!F20</f>
        <v>2200</v>
      </c>
      <c r="F38" s="55">
        <f>'Page 1'!H20</f>
        <v>2200</v>
      </c>
      <c r="G38" s="55">
        <v>1086</v>
      </c>
    </row>
    <row r="39" spans="1:10" ht="13.5" thickBot="1" x14ac:dyDescent="0.25">
      <c r="E39" s="93">
        <f t="shared" ref="E39:F39" si="6">SUM(E37:E38)</f>
        <v>449491</v>
      </c>
      <c r="F39" s="93">
        <f t="shared" si="6"/>
        <v>982743</v>
      </c>
      <c r="G39" s="93">
        <f>SUM(G37:G38)</f>
        <v>1388847</v>
      </c>
    </row>
    <row r="42" spans="1:10" x14ac:dyDescent="0.2">
      <c r="A42" s="50" t="s">
        <v>105</v>
      </c>
      <c r="E42" s="50">
        <f>-'Page 1'!F21</f>
        <v>740007</v>
      </c>
      <c r="F42" s="50">
        <f>-'Page 1'!H21</f>
        <v>740007</v>
      </c>
      <c r="G42" s="50">
        <v>727658</v>
      </c>
    </row>
    <row r="43" spans="1:10" x14ac:dyDescent="0.2">
      <c r="A43" s="70" t="s">
        <v>439</v>
      </c>
      <c r="E43" s="50">
        <v>0</v>
      </c>
      <c r="F43" s="50">
        <v>0</v>
      </c>
      <c r="G43" s="50">
        <f>-21798</f>
        <v>-21798</v>
      </c>
    </row>
    <row r="44" spans="1:10" x14ac:dyDescent="0.2">
      <c r="A44" s="27"/>
      <c r="E44" s="53">
        <f t="shared" ref="E44:G44" si="7">SUM(E42:E43)</f>
        <v>740007</v>
      </c>
      <c r="F44" s="53">
        <f t="shared" si="7"/>
        <v>740007</v>
      </c>
      <c r="G44" s="53">
        <f t="shared" si="7"/>
        <v>705860</v>
      </c>
    </row>
    <row r="47" spans="1:10" x14ac:dyDescent="0.2">
      <c r="A47" s="27"/>
      <c r="E47" s="56"/>
      <c r="F47" s="56"/>
      <c r="G47" s="56"/>
      <c r="H47" s="80"/>
    </row>
    <row r="48" spans="1:10" x14ac:dyDescent="0.2">
      <c r="A48" s="27" t="s">
        <v>107</v>
      </c>
      <c r="E48" s="56">
        <f t="shared" ref="E48:F48" si="8">E39/E44</f>
        <v>0.60741452445720112</v>
      </c>
      <c r="F48" s="56">
        <f t="shared" si="8"/>
        <v>1.3280185187437417</v>
      </c>
      <c r="G48" s="56">
        <f>G39/G44</f>
        <v>1.9675955571926445</v>
      </c>
      <c r="H48" s="56"/>
    </row>
    <row r="51" spans="1:7" x14ac:dyDescent="0.2">
      <c r="A51" s="27" t="s">
        <v>114</v>
      </c>
    </row>
    <row r="52" spans="1:7" x14ac:dyDescent="0.2">
      <c r="A52" s="70" t="s">
        <v>440</v>
      </c>
      <c r="E52" s="50">
        <f>-'Page 3'!F25</f>
        <v>175000</v>
      </c>
      <c r="F52" s="50">
        <f>-'Page 3'!I25</f>
        <v>175000</v>
      </c>
      <c r="G52" s="50">
        <v>105000</v>
      </c>
    </row>
    <row r="53" spans="1:7" x14ac:dyDescent="0.2">
      <c r="A53" s="70" t="s">
        <v>441</v>
      </c>
      <c r="E53" s="55">
        <f>-'Page 3'!F35</f>
        <v>13759000</v>
      </c>
      <c r="F53" s="55">
        <f>-'Page 3'!I35</f>
        <v>14009000</v>
      </c>
      <c r="G53" s="55">
        <f>13214000-105000</f>
        <v>13109000</v>
      </c>
    </row>
    <row r="54" spans="1:7" x14ac:dyDescent="0.2">
      <c r="A54" s="70"/>
      <c r="E54" s="50">
        <f>SUM(E52:E53)</f>
        <v>13934000</v>
      </c>
      <c r="F54" s="50">
        <f t="shared" ref="F54:G54" si="9">SUM(F52:F53)</f>
        <v>14184000</v>
      </c>
      <c r="G54" s="50">
        <f t="shared" si="9"/>
        <v>13214000</v>
      </c>
    </row>
    <row r="55" spans="1:7" x14ac:dyDescent="0.2">
      <c r="A55" s="70" t="s">
        <v>442</v>
      </c>
      <c r="E55" s="55">
        <f>-'BAL SHEET CALCS'!BK34</f>
        <v>680000</v>
      </c>
      <c r="F55" s="55">
        <f>-'BAL SHEET CALCS'!BG34</f>
        <v>680000</v>
      </c>
      <c r="G55" s="55">
        <v>680000</v>
      </c>
    </row>
    <row r="56" spans="1:7" x14ac:dyDescent="0.2">
      <c r="A56" s="70"/>
      <c r="E56" s="50">
        <f>SUM(E54:E55)</f>
        <v>14614000</v>
      </c>
      <c r="F56" s="50">
        <f t="shared" ref="F56:G56" si="10">SUM(F54:F55)</f>
        <v>14864000</v>
      </c>
      <c r="G56" s="50">
        <f t="shared" si="10"/>
        <v>13894000</v>
      </c>
    </row>
    <row r="57" spans="1:7" x14ac:dyDescent="0.2">
      <c r="A57" s="70" t="s">
        <v>245</v>
      </c>
      <c r="E57" s="50">
        <f>-'BAL SHEET CALCS'!BK35</f>
        <v>0</v>
      </c>
      <c r="F57" s="50">
        <f>-'BAL SHEET CALCS'!BG35</f>
        <v>-322854</v>
      </c>
      <c r="G57" s="50">
        <f>-322854</f>
        <v>-322854</v>
      </c>
    </row>
    <row r="58" spans="1:7" x14ac:dyDescent="0.2">
      <c r="A58" s="70" t="s">
        <v>381</v>
      </c>
      <c r="E58" s="55">
        <v>0</v>
      </c>
      <c r="F58" s="55">
        <v>0</v>
      </c>
      <c r="G58" s="55">
        <v>5600</v>
      </c>
    </row>
    <row r="59" spans="1:7" x14ac:dyDescent="0.2">
      <c r="A59" s="50" t="s">
        <v>108</v>
      </c>
      <c r="E59" s="50">
        <f t="shared" ref="E59:F59" si="11">SUM(E56:E58)</f>
        <v>14614000</v>
      </c>
      <c r="F59" s="50">
        <f t="shared" si="11"/>
        <v>14541146</v>
      </c>
      <c r="G59" s="50">
        <f>SUM(G56:G58)</f>
        <v>13576746</v>
      </c>
    </row>
    <row r="60" spans="1:7" x14ac:dyDescent="0.2">
      <c r="A60" s="50" t="s">
        <v>109</v>
      </c>
      <c r="E60" s="50">
        <f>-'Page 3'!F21</f>
        <v>-1631343.1600000001</v>
      </c>
      <c r="F60" s="50">
        <f>-'Page 3'!I21</f>
        <v>-1097760</v>
      </c>
      <c r="G60" s="50">
        <f>-1008127</f>
        <v>-1008127</v>
      </c>
    </row>
    <row r="62" spans="1:7" x14ac:dyDescent="0.2">
      <c r="A62" s="50" t="s">
        <v>110</v>
      </c>
      <c r="E62" s="53">
        <f t="shared" ref="E62:G62" si="12">SUM(E59:E61)</f>
        <v>12982656.84</v>
      </c>
      <c r="F62" s="53">
        <f t="shared" si="12"/>
        <v>13443386</v>
      </c>
      <c r="G62" s="53">
        <f t="shared" si="12"/>
        <v>12568619</v>
      </c>
    </row>
    <row r="65" spans="1:8" x14ac:dyDescent="0.2">
      <c r="A65" s="70" t="s">
        <v>111</v>
      </c>
      <c r="E65" s="50">
        <f>'Page 3'!G53</f>
        <v>877817.15999999992</v>
      </c>
      <c r="F65" s="50">
        <f>'Page 3'!J53</f>
        <v>-136616</v>
      </c>
      <c r="G65" s="50">
        <v>60255</v>
      </c>
    </row>
    <row r="66" spans="1:8" x14ac:dyDescent="0.2">
      <c r="A66" s="70" t="s">
        <v>443</v>
      </c>
      <c r="E66" s="55">
        <f>'Page 3'!G54</f>
        <v>-341183.16</v>
      </c>
      <c r="F66" s="55">
        <f>'Page 3'!J54</f>
        <v>0</v>
      </c>
      <c r="G66" s="55">
        <v>0</v>
      </c>
    </row>
    <row r="67" spans="1:8" x14ac:dyDescent="0.2">
      <c r="A67" s="70"/>
      <c r="E67" s="50">
        <f t="shared" ref="E67:F67" si="13">SUM(E65:E66)</f>
        <v>536634</v>
      </c>
      <c r="F67" s="50">
        <f t="shared" si="13"/>
        <v>-136616</v>
      </c>
      <c r="G67" s="50">
        <f>SUM(G65:G66)</f>
        <v>60255</v>
      </c>
    </row>
    <row r="68" spans="1:8" x14ac:dyDescent="0.2">
      <c r="A68" s="70" t="s">
        <v>281</v>
      </c>
      <c r="E68" s="50">
        <f>'Page 3'!G52</f>
        <v>60</v>
      </c>
      <c r="F68" s="50">
        <f>'Page 3'!J52</f>
        <v>72</v>
      </c>
      <c r="G68" s="50">
        <v>72</v>
      </c>
    </row>
    <row r="70" spans="1:8" x14ac:dyDescent="0.2">
      <c r="E70" s="53">
        <f t="shared" ref="E70:F70" si="14">SUM(E67:E69)</f>
        <v>536694</v>
      </c>
      <c r="F70" s="53">
        <f t="shared" si="14"/>
        <v>-136544</v>
      </c>
      <c r="G70" s="53">
        <f>SUM(G67:G69)</f>
        <v>60327</v>
      </c>
    </row>
    <row r="73" spans="1:8" x14ac:dyDescent="0.2">
      <c r="A73" s="27" t="s">
        <v>114</v>
      </c>
      <c r="E73" s="118">
        <f>E62/E70</f>
        <v>24.19005399724983</v>
      </c>
      <c r="F73" s="118">
        <f>F62/F70</f>
        <v>-98.4546080384345</v>
      </c>
      <c r="G73" s="118">
        <f>G62/G70</f>
        <v>208.34152203822501</v>
      </c>
      <c r="H73" s="56"/>
    </row>
    <row r="76" spans="1:8" x14ac:dyDescent="0.2">
      <c r="A76" s="27" t="s">
        <v>95</v>
      </c>
    </row>
    <row r="77" spans="1:8" x14ac:dyDescent="0.2">
      <c r="A77" s="50" t="s">
        <v>115</v>
      </c>
      <c r="E77" s="50">
        <f>'Page 2'!F12</f>
        <v>3672700</v>
      </c>
      <c r="F77" s="50">
        <f>'Page 2'!H12</f>
        <v>3672700</v>
      </c>
      <c r="G77" s="50">
        <v>3374932</v>
      </c>
    </row>
    <row r="78" spans="1:8" x14ac:dyDescent="0.2">
      <c r="A78" s="50" t="s">
        <v>116</v>
      </c>
      <c r="E78" s="50">
        <f>'Page 1'!F12</f>
        <v>4861169</v>
      </c>
      <c r="F78" s="50">
        <f>'Page 1'!H12</f>
        <v>4809619</v>
      </c>
      <c r="G78" s="50">
        <v>3949248</v>
      </c>
    </row>
    <row r="80" spans="1:8" x14ac:dyDescent="0.2">
      <c r="A80" s="50" t="s">
        <v>53</v>
      </c>
      <c r="E80" s="50">
        <f>-'Page 2'!F13</f>
        <v>36700</v>
      </c>
      <c r="F80" s="50">
        <f>-'Page 2'!H13</f>
        <v>36700</v>
      </c>
      <c r="G80" s="50">
        <v>15590</v>
      </c>
    </row>
    <row r="81" spans="1:9" x14ac:dyDescent="0.2">
      <c r="A81" s="70" t="s">
        <v>174</v>
      </c>
      <c r="E81" s="50">
        <f>166235+24000</f>
        <v>190235</v>
      </c>
      <c r="F81" s="50">
        <f>171701</f>
        <v>171701</v>
      </c>
      <c r="G81" s="50">
        <v>171907</v>
      </c>
      <c r="I81" s="70"/>
    </row>
    <row r="82" spans="1:9" x14ac:dyDescent="0.2">
      <c r="A82" s="70" t="s">
        <v>175</v>
      </c>
      <c r="E82" s="50">
        <f>73549+24000</f>
        <v>97549</v>
      </c>
      <c r="F82" s="50">
        <f>73549</f>
        <v>73549</v>
      </c>
      <c r="G82" s="50">
        <v>87032</v>
      </c>
      <c r="I82" s="70"/>
    </row>
    <row r="83" spans="1:9" x14ac:dyDescent="0.2">
      <c r="A83" s="50" t="s">
        <v>56</v>
      </c>
      <c r="E83" s="50">
        <f>'Page 2'!F29</f>
        <v>54540</v>
      </c>
      <c r="F83" s="50">
        <f>'Page 2'!H29</f>
        <v>54540</v>
      </c>
      <c r="G83" s="50">
        <v>20871</v>
      </c>
    </row>
    <row r="84" spans="1:9" x14ac:dyDescent="0.2">
      <c r="A84" s="50" t="s">
        <v>63</v>
      </c>
      <c r="E84" s="50">
        <f>'Page 5'!E14</f>
        <v>843000</v>
      </c>
      <c r="F84" s="50">
        <f>'Page 5'!G14</f>
        <v>843000</v>
      </c>
      <c r="G84" s="50">
        <v>748825</v>
      </c>
    </row>
    <row r="85" spans="1:9" x14ac:dyDescent="0.2">
      <c r="A85" s="70" t="s">
        <v>476</v>
      </c>
      <c r="E85" s="50">
        <f>'Page 5'!E49</f>
        <v>333000</v>
      </c>
      <c r="F85" s="50">
        <f>'Page 5'!G49</f>
        <v>333000</v>
      </c>
      <c r="G85" s="50">
        <v>432732</v>
      </c>
      <c r="H85" s="70"/>
    </row>
    <row r="86" spans="1:9" x14ac:dyDescent="0.2">
      <c r="A86" s="70" t="s">
        <v>444</v>
      </c>
      <c r="E86" s="50">
        <f>66528+300+5594</f>
        <v>72422</v>
      </c>
      <c r="F86" s="50">
        <f>66528+300+5594</f>
        <v>72422</v>
      </c>
      <c r="G86" s="50">
        <v>67593</v>
      </c>
      <c r="I86" s="70"/>
    </row>
    <row r="87" spans="1:9" x14ac:dyDescent="0.2">
      <c r="A87" s="70" t="s">
        <v>116</v>
      </c>
      <c r="E87" s="50">
        <f t="shared" ref="E87:F87" si="15">E78</f>
        <v>4861169</v>
      </c>
      <c r="F87" s="50">
        <f t="shared" si="15"/>
        <v>4809619</v>
      </c>
      <c r="G87" s="50">
        <f>G78</f>
        <v>3949248</v>
      </c>
    </row>
    <row r="90" spans="1:9" x14ac:dyDescent="0.2">
      <c r="A90" s="27" t="s">
        <v>53</v>
      </c>
      <c r="E90" s="118">
        <f t="shared" ref="E90:F90" si="16">E80/E77</f>
        <v>9.9926484602608431E-3</v>
      </c>
      <c r="F90" s="118">
        <f t="shared" si="16"/>
        <v>9.9926484602608431E-3</v>
      </c>
      <c r="G90" s="118">
        <f t="shared" ref="G90" si="17">G80/G77</f>
        <v>4.619352330654366E-3</v>
      </c>
    </row>
    <row r="91" spans="1:9" x14ac:dyDescent="0.2">
      <c r="A91" s="27" t="s">
        <v>174</v>
      </c>
      <c r="E91" s="118">
        <f t="shared" ref="E91:F91" si="18">E81/E77</f>
        <v>5.1797043047349361E-2</v>
      </c>
      <c r="F91" s="118">
        <f t="shared" si="18"/>
        <v>4.6750619435292837E-2</v>
      </c>
      <c r="G91" s="118">
        <f t="shared" ref="G91" si="19">G81/G77</f>
        <v>5.0936433682219374E-2</v>
      </c>
    </row>
    <row r="92" spans="1:9" x14ac:dyDescent="0.2">
      <c r="A92" s="27" t="s">
        <v>175</v>
      </c>
      <c r="E92" s="118">
        <f t="shared" ref="E92" si="20">E82/E77</f>
        <v>2.6560568519073163E-2</v>
      </c>
      <c r="F92" s="118">
        <f t="shared" ref="F92:G92" si="21">F82/F77</f>
        <v>2.0025866528711848E-2</v>
      </c>
      <c r="G92" s="118">
        <f t="shared" si="21"/>
        <v>2.5787778835247643E-2</v>
      </c>
    </row>
    <row r="93" spans="1:9" x14ac:dyDescent="0.2">
      <c r="A93" s="27" t="s">
        <v>56</v>
      </c>
      <c r="E93" s="118">
        <f>E83/E77</f>
        <v>1.4850110273096087E-2</v>
      </c>
      <c r="F93" s="118">
        <f t="shared" ref="F93:G93" si="22">F83/F77</f>
        <v>1.4850110273096087E-2</v>
      </c>
      <c r="G93" s="118">
        <f t="shared" si="22"/>
        <v>6.1841245986585802E-3</v>
      </c>
    </row>
    <row r="94" spans="1:9" x14ac:dyDescent="0.2">
      <c r="A94" s="27" t="s">
        <v>63</v>
      </c>
      <c r="E94" s="118">
        <f>E84/E78</f>
        <v>0.17341507773130291</v>
      </c>
      <c r="F94" s="118">
        <f t="shared" ref="F94:G94" si="23">F84/F78</f>
        <v>0.1752737586906572</v>
      </c>
      <c r="G94" s="118">
        <f t="shared" si="23"/>
        <v>0.18961204766071921</v>
      </c>
    </row>
    <row r="95" spans="1:9" x14ac:dyDescent="0.2">
      <c r="A95" s="27" t="s">
        <v>477</v>
      </c>
      <c r="E95" s="118">
        <f>E85/E78</f>
        <v>6.8502041381404352E-2</v>
      </c>
      <c r="F95" s="118">
        <f t="shared" ref="F95:G95" si="24">F85/F78</f>
        <v>6.9236253432964232E-2</v>
      </c>
      <c r="G95" s="118">
        <f t="shared" si="24"/>
        <v>0.10957326559385483</v>
      </c>
    </row>
    <row r="96" spans="1:9" x14ac:dyDescent="0.2">
      <c r="A96" s="27" t="s">
        <v>445</v>
      </c>
      <c r="E96" s="118">
        <f t="shared" ref="E96:F96" si="25">E86/E84</f>
        <v>8.5909845788849346E-2</v>
      </c>
      <c r="F96" s="118">
        <f t="shared" si="25"/>
        <v>8.5909845788849346E-2</v>
      </c>
      <c r="G96" s="118">
        <f>G86/G84</f>
        <v>9.026541581811505E-2</v>
      </c>
    </row>
    <row r="97" spans="1:7" x14ac:dyDescent="0.2">
      <c r="A97" s="27" t="s">
        <v>383</v>
      </c>
      <c r="E97" s="27">
        <f t="shared" ref="E97:F97" si="26">E87/E16</f>
        <v>5856.8301204819281</v>
      </c>
      <c r="F97" s="27">
        <f t="shared" si="26"/>
        <v>5794.7216867469879</v>
      </c>
      <c r="G97" s="27">
        <f>G87/G16</f>
        <v>4924.2493765586032</v>
      </c>
    </row>
    <row r="99" spans="1:7" x14ac:dyDescent="0.2">
      <c r="A99" s="27"/>
    </row>
    <row r="100" spans="1:7" x14ac:dyDescent="0.2">
      <c r="A100" s="27" t="s">
        <v>96</v>
      </c>
    </row>
    <row r="101" spans="1:7" x14ac:dyDescent="0.2">
      <c r="A101" s="50" t="s">
        <v>117</v>
      </c>
      <c r="E101" s="50">
        <f>'Page 3'!G21</f>
        <v>1824562.1600000001</v>
      </c>
      <c r="F101" s="50">
        <f>'Page 3'!J21</f>
        <v>1490683</v>
      </c>
      <c r="G101" s="50">
        <v>1377050</v>
      </c>
    </row>
    <row r="103" spans="1:7" x14ac:dyDescent="0.2">
      <c r="A103" s="50" t="s">
        <v>118</v>
      </c>
      <c r="E103" s="50">
        <f>-'Page 3'!G26</f>
        <v>399472</v>
      </c>
      <c r="F103" s="50">
        <f>-'Page 3'!J26</f>
        <v>509052</v>
      </c>
      <c r="G103" s="50">
        <v>436225</v>
      </c>
    </row>
    <row r="104" spans="1:7" x14ac:dyDescent="0.2">
      <c r="A104" s="70" t="s">
        <v>446</v>
      </c>
      <c r="E104" s="50">
        <f>'Page 2'!F17</f>
        <v>439819</v>
      </c>
      <c r="F104" s="50">
        <f>'Page 2'!H17</f>
        <v>439819</v>
      </c>
      <c r="G104" s="50">
        <v>387318</v>
      </c>
    </row>
    <row r="105" spans="1:7" ht="13.5" thickBot="1" x14ac:dyDescent="0.25">
      <c r="E105" s="93">
        <f t="shared" ref="E105:F105" si="27">SUM(E103:E104)</f>
        <v>839291</v>
      </c>
      <c r="F105" s="93">
        <f t="shared" si="27"/>
        <v>948871</v>
      </c>
      <c r="G105" s="93">
        <f>SUM(G103:G104)</f>
        <v>823543</v>
      </c>
    </row>
    <row r="106" spans="1:7" x14ac:dyDescent="0.2">
      <c r="E106" s="54"/>
      <c r="F106" s="54"/>
    </row>
    <row r="107" spans="1:7" x14ac:dyDescent="0.2">
      <c r="A107" s="27" t="s">
        <v>90</v>
      </c>
      <c r="E107" s="119">
        <f t="shared" ref="E107:F107" si="28">E101/E105</f>
        <v>2.1739327122535572</v>
      </c>
      <c r="F107" s="119">
        <f t="shared" si="28"/>
        <v>1.5710070178138018</v>
      </c>
      <c r="G107" s="119">
        <f>G101/G105</f>
        <v>1.6721045531320162</v>
      </c>
    </row>
    <row r="108" spans="1:7" x14ac:dyDescent="0.2">
      <c r="A108" s="27"/>
    </row>
    <row r="110" spans="1:7" x14ac:dyDescent="0.2">
      <c r="A110" s="27" t="s">
        <v>119</v>
      </c>
    </row>
    <row r="111" spans="1:7" x14ac:dyDescent="0.2">
      <c r="A111" s="70" t="s">
        <v>120</v>
      </c>
      <c r="E111" s="50">
        <f>E26</f>
        <v>1186629</v>
      </c>
      <c r="F111" s="50">
        <f>F26</f>
        <v>536179</v>
      </c>
      <c r="G111" s="50">
        <f>G26</f>
        <v>1349636</v>
      </c>
    </row>
    <row r="112" spans="1:7" x14ac:dyDescent="0.2">
      <c r="A112" s="70" t="s">
        <v>447</v>
      </c>
      <c r="E112" s="50">
        <f>'Page 1'!F18</f>
        <v>0</v>
      </c>
      <c r="F112" s="50">
        <f>'Page 1'!H18</f>
        <v>0</v>
      </c>
      <c r="G112" s="50">
        <v>114937</v>
      </c>
    </row>
    <row r="113" spans="1:8" x14ac:dyDescent="0.2">
      <c r="A113" s="70" t="s">
        <v>340</v>
      </c>
      <c r="E113" s="50">
        <f>'Page 1'!F20</f>
        <v>2200</v>
      </c>
      <c r="F113" s="50">
        <f>'Page 1'!H20</f>
        <v>2200</v>
      </c>
      <c r="G113" s="50">
        <f>G38</f>
        <v>1086</v>
      </c>
    </row>
    <row r="114" spans="1:8" x14ac:dyDescent="0.2">
      <c r="A114" s="70" t="s">
        <v>448</v>
      </c>
      <c r="E114" s="50">
        <f>'Page 1'!F21</f>
        <v>-740007</v>
      </c>
      <c r="F114" s="50">
        <f>'Page 1'!H21</f>
        <v>-740007</v>
      </c>
      <c r="G114" s="50">
        <f>-G42</f>
        <v>-727658</v>
      </c>
    </row>
    <row r="115" spans="1:8" x14ac:dyDescent="0.2">
      <c r="A115" s="70" t="s">
        <v>263</v>
      </c>
      <c r="E115" s="50">
        <f>'Page 1'!F22</f>
        <v>0</v>
      </c>
      <c r="F115" s="50">
        <f>'Page 1'!H22</f>
        <v>-497</v>
      </c>
      <c r="G115" s="50">
        <f>-1072</f>
        <v>-1072</v>
      </c>
    </row>
    <row r="116" spans="1:8" x14ac:dyDescent="0.2">
      <c r="A116" s="70"/>
      <c r="G116" s="50">
        <v>0</v>
      </c>
    </row>
    <row r="117" spans="1:8" x14ac:dyDescent="0.2">
      <c r="E117" s="55"/>
      <c r="F117" s="55"/>
      <c r="G117" s="55">
        <v>0</v>
      </c>
    </row>
    <row r="118" spans="1:8" ht="13.5" thickBot="1" x14ac:dyDescent="0.25">
      <c r="E118" s="93">
        <f t="shared" ref="E118:F118" si="29">SUM(E111:E117)</f>
        <v>448822</v>
      </c>
      <c r="F118" s="93">
        <f t="shared" si="29"/>
        <v>-202125</v>
      </c>
      <c r="G118" s="93">
        <f>SUM(G111:G117)</f>
        <v>736929</v>
      </c>
    </row>
    <row r="121" spans="1:8" x14ac:dyDescent="0.2">
      <c r="A121" s="50" t="s">
        <v>116</v>
      </c>
      <c r="E121" s="50">
        <f t="shared" ref="E121:F121" si="30">E78</f>
        <v>4861169</v>
      </c>
      <c r="F121" s="50">
        <f t="shared" si="30"/>
        <v>4809619</v>
      </c>
      <c r="G121" s="50">
        <f>G78</f>
        <v>3949248</v>
      </c>
    </row>
    <row r="123" spans="1:8" x14ac:dyDescent="0.2">
      <c r="A123" s="27" t="s">
        <v>122</v>
      </c>
      <c r="E123" s="118">
        <f t="shared" ref="E123:F123" si="31">E111/E121</f>
        <v>0.24410363021734072</v>
      </c>
      <c r="F123" s="118">
        <f t="shared" si="31"/>
        <v>0.11148055594424423</v>
      </c>
      <c r="G123" s="118">
        <f>G111/G121</f>
        <v>0.34174506133825983</v>
      </c>
      <c r="H123" s="56"/>
    </row>
    <row r="124" spans="1:8" x14ac:dyDescent="0.2">
      <c r="A124" s="27" t="s">
        <v>123</v>
      </c>
      <c r="E124" s="118">
        <f t="shared" ref="E124:F124" si="32">E118/E121</f>
        <v>9.2327997648302296E-2</v>
      </c>
      <c r="F124" s="118">
        <f t="shared" si="32"/>
        <v>-4.2025158333747432E-2</v>
      </c>
      <c r="G124" s="118">
        <f>G118/G121</f>
        <v>0.18659982862560162</v>
      </c>
      <c r="H124" s="56"/>
    </row>
    <row r="127" spans="1:8" x14ac:dyDescent="0.2">
      <c r="A127" s="27" t="s">
        <v>432</v>
      </c>
    </row>
    <row r="128" spans="1:8" x14ac:dyDescent="0.2">
      <c r="A128" s="70" t="s">
        <v>440</v>
      </c>
      <c r="E128" s="50">
        <f t="shared" ref="E128:G129" si="33">E52</f>
        <v>175000</v>
      </c>
      <c r="F128" s="50">
        <f t="shared" si="33"/>
        <v>175000</v>
      </c>
      <c r="G128" s="50">
        <f t="shared" si="33"/>
        <v>105000</v>
      </c>
    </row>
    <row r="129" spans="1:7" x14ac:dyDescent="0.2">
      <c r="A129" s="70" t="s">
        <v>441</v>
      </c>
      <c r="E129" s="55">
        <f t="shared" si="33"/>
        <v>13759000</v>
      </c>
      <c r="F129" s="55">
        <f t="shared" si="33"/>
        <v>14009000</v>
      </c>
      <c r="G129" s="55">
        <f t="shared" si="33"/>
        <v>13109000</v>
      </c>
    </row>
    <row r="130" spans="1:7" x14ac:dyDescent="0.2">
      <c r="E130" s="50">
        <f t="shared" ref="E130:F130" si="34">SUM(E128:E129)</f>
        <v>13934000</v>
      </c>
      <c r="F130" s="50">
        <f t="shared" si="34"/>
        <v>14184000</v>
      </c>
      <c r="G130" s="50">
        <f>SUM(G128:G129)</f>
        <v>13214000</v>
      </c>
    </row>
    <row r="131" spans="1:7" x14ac:dyDescent="0.2">
      <c r="A131" s="70" t="s">
        <v>442</v>
      </c>
      <c r="E131" s="55">
        <f>E55</f>
        <v>680000</v>
      </c>
      <c r="F131" s="55">
        <f>F55</f>
        <v>680000</v>
      </c>
      <c r="G131" s="55">
        <f>G55</f>
        <v>680000</v>
      </c>
    </row>
    <row r="132" spans="1:7" x14ac:dyDescent="0.2">
      <c r="E132" s="50">
        <f t="shared" ref="E132:F132" si="35">SUM(E130:E131)</f>
        <v>14614000</v>
      </c>
      <c r="F132" s="50">
        <f t="shared" si="35"/>
        <v>14864000</v>
      </c>
      <c r="G132" s="50">
        <f>SUM(G130:G131)</f>
        <v>13894000</v>
      </c>
    </row>
    <row r="133" spans="1:7" x14ac:dyDescent="0.2">
      <c r="A133" s="70" t="s">
        <v>245</v>
      </c>
      <c r="E133" s="50">
        <f>E57</f>
        <v>0</v>
      </c>
      <c r="F133" s="50">
        <f>F57</f>
        <v>-322854</v>
      </c>
      <c r="G133" s="50">
        <f>G57</f>
        <v>-322854</v>
      </c>
    </row>
    <row r="134" spans="1:7" x14ac:dyDescent="0.2">
      <c r="E134" s="55"/>
      <c r="F134" s="55"/>
      <c r="G134" s="55"/>
    </row>
    <row r="135" spans="1:7" x14ac:dyDescent="0.2">
      <c r="E135" s="50">
        <f t="shared" ref="E135:F135" si="36">SUM(E132:E134)</f>
        <v>14614000</v>
      </c>
      <c r="F135" s="50">
        <f t="shared" si="36"/>
        <v>14541146</v>
      </c>
      <c r="G135" s="50">
        <f>SUM(G132:G134)</f>
        <v>13571146</v>
      </c>
    </row>
    <row r="136" spans="1:7" x14ac:dyDescent="0.2">
      <c r="A136" s="70" t="s">
        <v>109</v>
      </c>
      <c r="E136" s="50">
        <f>E60</f>
        <v>-1631343.1600000001</v>
      </c>
      <c r="F136" s="50">
        <f>F60</f>
        <v>-1097760</v>
      </c>
      <c r="G136" s="50">
        <f>G60</f>
        <v>-1008127</v>
      </c>
    </row>
    <row r="137" spans="1:7" ht="13.5" thickBot="1" x14ac:dyDescent="0.25">
      <c r="E137" s="93">
        <f t="shared" ref="E137:F137" si="37">SUM(E135:E136)</f>
        <v>12982656.84</v>
      </c>
      <c r="F137" s="93">
        <f t="shared" si="37"/>
        <v>13443386</v>
      </c>
      <c r="G137" s="93">
        <f>SUM(G135:G136)</f>
        <v>12563019</v>
      </c>
    </row>
    <row r="140" spans="1:7" x14ac:dyDescent="0.2">
      <c r="A140" s="70" t="s">
        <v>116</v>
      </c>
      <c r="E140" s="50">
        <f t="shared" ref="E140:F140" si="38">E121</f>
        <v>4861169</v>
      </c>
      <c r="F140" s="50">
        <f t="shared" si="38"/>
        <v>4809619</v>
      </c>
      <c r="G140" s="50">
        <f>G121</f>
        <v>3949248</v>
      </c>
    </row>
    <row r="141" spans="1:7" x14ac:dyDescent="0.2">
      <c r="A141" s="70" t="s">
        <v>450</v>
      </c>
      <c r="E141" s="50">
        <f t="shared" ref="E141:F141" si="39">E16</f>
        <v>830</v>
      </c>
      <c r="F141" s="50">
        <f t="shared" si="39"/>
        <v>830</v>
      </c>
      <c r="G141" s="50">
        <f>G16</f>
        <v>802</v>
      </c>
    </row>
    <row r="142" spans="1:7" x14ac:dyDescent="0.2">
      <c r="A142" s="70"/>
    </row>
    <row r="144" spans="1:7" x14ac:dyDescent="0.2">
      <c r="A144" s="27" t="s">
        <v>449</v>
      </c>
      <c r="B144" s="27"/>
      <c r="C144" s="27"/>
      <c r="D144" s="27"/>
      <c r="E144" s="119">
        <f t="shared" ref="E144:F144" si="40">E135/E140</f>
        <v>3.0062727710145438</v>
      </c>
      <c r="F144" s="119">
        <f t="shared" si="40"/>
        <v>3.0233467557409432</v>
      </c>
      <c r="G144" s="119">
        <f>G135/G140</f>
        <v>3.4363873831169882</v>
      </c>
    </row>
    <row r="145" spans="1:7" x14ac:dyDescent="0.2">
      <c r="A145" s="27" t="s">
        <v>112</v>
      </c>
      <c r="B145" s="27"/>
      <c r="C145" s="27"/>
      <c r="D145" s="27"/>
      <c r="E145" s="27">
        <f t="shared" ref="E145:F145" si="41">E135/E141</f>
        <v>17607.22891566265</v>
      </c>
      <c r="F145" s="27">
        <f t="shared" si="41"/>
        <v>17519.453012048194</v>
      </c>
      <c r="G145" s="27">
        <f>G135/G141</f>
        <v>16921.628428927681</v>
      </c>
    </row>
    <row r="146" spans="1:7" x14ac:dyDescent="0.2">
      <c r="A146" s="27" t="s">
        <v>113</v>
      </c>
      <c r="B146" s="27"/>
      <c r="C146" s="27"/>
      <c r="D146" s="27"/>
      <c r="E146" s="27">
        <f t="shared" ref="E146:F146" si="42">E137/E141</f>
        <v>15641.755228915663</v>
      </c>
      <c r="F146" s="27">
        <f t="shared" si="42"/>
        <v>16196.850602409639</v>
      </c>
      <c r="G146" s="27">
        <f>G137/G141</f>
        <v>15664.612219451372</v>
      </c>
    </row>
    <row r="147" spans="1:7" x14ac:dyDescent="0.2">
      <c r="A147" s="70"/>
    </row>
    <row r="148" spans="1:7" x14ac:dyDescent="0.2">
      <c r="A148" s="70"/>
    </row>
    <row r="149" spans="1:7" x14ac:dyDescent="0.2">
      <c r="A149" s="27" t="s">
        <v>451</v>
      </c>
    </row>
    <row r="150" spans="1:7" x14ac:dyDescent="0.2">
      <c r="A150" s="70" t="s">
        <v>452</v>
      </c>
      <c r="E150" s="50">
        <f>'Page 2'!E47</f>
        <v>738350</v>
      </c>
      <c r="F150" s="50">
        <v>686800</v>
      </c>
      <c r="G150" s="50">
        <v>153588</v>
      </c>
    </row>
    <row r="151" spans="1:7" x14ac:dyDescent="0.2">
      <c r="A151" s="70" t="s">
        <v>457</v>
      </c>
      <c r="E151" s="50">
        <f>-E29</f>
        <v>439819</v>
      </c>
      <c r="F151" s="50">
        <f>-F29</f>
        <v>439819</v>
      </c>
      <c r="G151" s="50">
        <f>-G29</f>
        <v>387318</v>
      </c>
    </row>
    <row r="152" spans="1:7" x14ac:dyDescent="0.2">
      <c r="A152" s="70" t="s">
        <v>453</v>
      </c>
      <c r="E152" s="50">
        <f>'Page 2'!F16</f>
        <v>47000</v>
      </c>
      <c r="F152" s="50">
        <v>45000</v>
      </c>
      <c r="G152" s="50">
        <v>49000</v>
      </c>
    </row>
    <row r="153" spans="1:7" ht="13.5" thickBot="1" x14ac:dyDescent="0.25">
      <c r="A153" s="70"/>
      <c r="E153" s="93">
        <f t="shared" ref="E153:F153" si="43">SUM(E150:E152)</f>
        <v>1225169</v>
      </c>
      <c r="F153" s="93">
        <f t="shared" si="43"/>
        <v>1171619</v>
      </c>
      <c r="G153" s="93">
        <f>SUM(G150:G152)</f>
        <v>589906</v>
      </c>
    </row>
    <row r="155" spans="1:7" x14ac:dyDescent="0.2">
      <c r="A155" s="70" t="s">
        <v>369</v>
      </c>
      <c r="E155" s="50">
        <f t="shared" ref="E155:F155" si="44">E140</f>
        <v>4861169</v>
      </c>
      <c r="F155" s="50">
        <f t="shared" si="44"/>
        <v>4809619</v>
      </c>
      <c r="G155" s="50">
        <f>G140</f>
        <v>3949248</v>
      </c>
    </row>
    <row r="157" spans="1:7" x14ac:dyDescent="0.2">
      <c r="A157" s="27" t="s">
        <v>454</v>
      </c>
      <c r="B157" s="27"/>
      <c r="C157" s="27"/>
      <c r="D157" s="27"/>
      <c r="E157" s="120">
        <f t="shared" ref="E157:F157" si="45">E153/E155</f>
        <v>0.25203176437601738</v>
      </c>
      <c r="F157" s="120">
        <f t="shared" si="45"/>
        <v>0.24359912916179016</v>
      </c>
      <c r="G157" s="120">
        <f>G153/G155</f>
        <v>0.14937172849109501</v>
      </c>
    </row>
    <row r="160" spans="1:7" x14ac:dyDescent="0.2">
      <c r="A160" s="27" t="s">
        <v>455</v>
      </c>
    </row>
    <row r="161" spans="1:7" x14ac:dyDescent="0.2">
      <c r="A161" s="70" t="s">
        <v>456</v>
      </c>
      <c r="E161" s="50">
        <f>'Page 2'!G47</f>
        <v>-71247.5</v>
      </c>
      <c r="F161" s="50">
        <f>-85298</f>
        <v>-85298</v>
      </c>
      <c r="G161" s="50">
        <f>-64652</f>
        <v>-64652</v>
      </c>
    </row>
    <row r="162" spans="1:7" x14ac:dyDescent="0.2">
      <c r="A162" s="70" t="s">
        <v>120</v>
      </c>
      <c r="E162" s="50">
        <f t="shared" ref="E162" si="46">E26</f>
        <v>1186629</v>
      </c>
      <c r="F162" s="50">
        <v>1135079</v>
      </c>
      <c r="G162" s="50">
        <f>G26</f>
        <v>1349636</v>
      </c>
    </row>
    <row r="164" spans="1:7" x14ac:dyDescent="0.2">
      <c r="A164" s="27" t="s">
        <v>451</v>
      </c>
      <c r="B164" s="27"/>
      <c r="C164" s="27"/>
      <c r="D164" s="27"/>
      <c r="E164" s="120">
        <f t="shared" ref="E164:F164" si="47">E161/E162</f>
        <v>-6.0041933915318098E-2</v>
      </c>
      <c r="F164" s="120">
        <f t="shared" si="47"/>
        <v>-7.5147192398062168E-2</v>
      </c>
      <c r="G164" s="120">
        <f>G161/G162</f>
        <v>-4.7903286515771658E-2</v>
      </c>
    </row>
    <row r="169" spans="1:7" x14ac:dyDescent="0.2">
      <c r="A169" s="27" t="s">
        <v>127</v>
      </c>
    </row>
    <row r="172" spans="1:7" x14ac:dyDescent="0.2">
      <c r="A172" s="27" t="s">
        <v>192</v>
      </c>
    </row>
    <row r="173" spans="1:7" x14ac:dyDescent="0.2">
      <c r="A173" s="27"/>
    </row>
    <row r="174" spans="1:7" x14ac:dyDescent="0.2">
      <c r="A174" s="70" t="s">
        <v>474</v>
      </c>
      <c r="E174" s="50">
        <f>-'Page 3'!F25</f>
        <v>175000</v>
      </c>
    </row>
    <row r="175" spans="1:7" x14ac:dyDescent="0.2">
      <c r="A175" s="70" t="s">
        <v>475</v>
      </c>
      <c r="E175" s="50">
        <f>-'Page 3'!F35</f>
        <v>13759000</v>
      </c>
    </row>
    <row r="176" spans="1:7" ht="13.5" thickBot="1" x14ac:dyDescent="0.25">
      <c r="A176" s="70" t="s">
        <v>193</v>
      </c>
      <c r="E176" s="94">
        <f>SUM(E174:E175)</f>
        <v>13934000</v>
      </c>
    </row>
    <row r="177" spans="1:5" ht="13.5" thickTop="1" x14ac:dyDescent="0.2"/>
    <row r="178" spans="1:5" x14ac:dyDescent="0.2">
      <c r="A178" s="70" t="s">
        <v>597</v>
      </c>
    </row>
    <row r="179" spans="1:5" x14ac:dyDescent="0.2">
      <c r="A179" s="70" t="s">
        <v>194</v>
      </c>
      <c r="E179" s="50">
        <f>3260000+1595000+4920000+2295000+775000</f>
        <v>12845000</v>
      </c>
    </row>
    <row r="180" spans="1:5" x14ac:dyDescent="0.2">
      <c r="A180" s="70" t="s">
        <v>195</v>
      </c>
      <c r="E180" s="92">
        <v>1.25</v>
      </c>
    </row>
    <row r="181" spans="1:5" ht="13.5" thickBot="1" x14ac:dyDescent="0.25">
      <c r="E181" s="93">
        <f>E179/E180</f>
        <v>10276000</v>
      </c>
    </row>
    <row r="183" spans="1:5" x14ac:dyDescent="0.2">
      <c r="A183" s="70" t="s">
        <v>196</v>
      </c>
      <c r="E183" s="50">
        <f>17535000-357437</f>
        <v>17177563</v>
      </c>
    </row>
    <row r="184" spans="1:5" x14ac:dyDescent="0.2">
      <c r="A184" s="70" t="s">
        <v>195</v>
      </c>
      <c r="E184" s="92">
        <v>1.1000000000000001</v>
      </c>
    </row>
    <row r="185" spans="1:5" ht="13.5" thickBot="1" x14ac:dyDescent="0.25">
      <c r="E185" s="93">
        <f>E183/E184</f>
        <v>15615966.363636363</v>
      </c>
    </row>
    <row r="188" spans="1:5" ht="13.5" thickBot="1" x14ac:dyDescent="0.25">
      <c r="A188" s="70" t="s">
        <v>197</v>
      </c>
      <c r="E188" s="94">
        <f>E181+E185</f>
        <v>25891966.363636363</v>
      </c>
    </row>
    <row r="189" spans="1:5" ht="13.5" thickTop="1" x14ac:dyDescent="0.2"/>
    <row r="190" spans="1:5" x14ac:dyDescent="0.2">
      <c r="A190" s="70" t="s">
        <v>228</v>
      </c>
      <c r="E190" s="70">
        <f>E188</f>
        <v>25891966.363636363</v>
      </c>
    </row>
    <row r="193" spans="1:5" x14ac:dyDescent="0.2">
      <c r="A193" s="27" t="s">
        <v>106</v>
      </c>
    </row>
    <row r="195" spans="1:5" x14ac:dyDescent="0.2">
      <c r="A195" s="70" t="s">
        <v>120</v>
      </c>
      <c r="E195" s="50">
        <f>'Page 1'!F16</f>
        <v>1186629</v>
      </c>
    </row>
    <row r="196" spans="1:5" x14ac:dyDescent="0.2">
      <c r="A196" s="70" t="s">
        <v>103</v>
      </c>
      <c r="E196" s="50">
        <f>'Page 2'!F30</f>
        <v>965000</v>
      </c>
    </row>
    <row r="197" spans="1:5" x14ac:dyDescent="0.2">
      <c r="A197" s="70" t="s">
        <v>243</v>
      </c>
      <c r="E197" s="50">
        <f>-'Page 2a'!F54</f>
        <v>-647600</v>
      </c>
    </row>
    <row r="198" spans="1:5" x14ac:dyDescent="0.2">
      <c r="E198" s="55">
        <v>0</v>
      </c>
    </row>
    <row r="199" spans="1:5" x14ac:dyDescent="0.2">
      <c r="E199" s="50">
        <f>SUM(E195:E198)</f>
        <v>1504029</v>
      </c>
    </row>
    <row r="200" spans="1:5" x14ac:dyDescent="0.2">
      <c r="A200" s="70" t="s">
        <v>246</v>
      </c>
      <c r="E200" s="50">
        <f>-'Page 2'!F17</f>
        <v>-439819</v>
      </c>
    </row>
    <row r="201" spans="1:5" x14ac:dyDescent="0.2">
      <c r="A201" s="70" t="s">
        <v>247</v>
      </c>
      <c r="E201" s="50">
        <f>-'Page 10'!P30</f>
        <v>-47816.840000000004</v>
      </c>
    </row>
    <row r="203" spans="1:5" ht="13.5" thickBot="1" x14ac:dyDescent="0.25">
      <c r="E203" s="93">
        <f>SUM(E199:E202)</f>
        <v>1016393.16</v>
      </c>
    </row>
    <row r="206" spans="1:5" x14ac:dyDescent="0.2">
      <c r="A206" s="70" t="s">
        <v>105</v>
      </c>
      <c r="E206" s="50">
        <f>-'Page 1'!F21</f>
        <v>740007</v>
      </c>
    </row>
    <row r="207" spans="1:5" x14ac:dyDescent="0.2">
      <c r="A207" s="70" t="s">
        <v>244</v>
      </c>
      <c r="E207" s="55">
        <f>-'Page 1'!F20</f>
        <v>-2200</v>
      </c>
    </row>
    <row r="208" spans="1:5" x14ac:dyDescent="0.2">
      <c r="E208" s="50">
        <f>SUM(E206:E207)</f>
        <v>737807</v>
      </c>
    </row>
    <row r="210" spans="1:5" x14ac:dyDescent="0.2">
      <c r="A210" s="70" t="s">
        <v>245</v>
      </c>
    </row>
    <row r="211" spans="1:5" ht="13.5" thickBot="1" x14ac:dyDescent="0.25">
      <c r="E211" s="93">
        <f>SUM(E208:E210)</f>
        <v>737807</v>
      </c>
    </row>
    <row r="213" spans="1:5" x14ac:dyDescent="0.2">
      <c r="A213" s="70" t="s">
        <v>248</v>
      </c>
      <c r="E213" s="92">
        <f>E203/E211</f>
        <v>1.3775867672711157</v>
      </c>
    </row>
    <row r="215" spans="1:5" x14ac:dyDescent="0.2">
      <c r="A215" s="70" t="s">
        <v>252</v>
      </c>
      <c r="E215" s="132">
        <v>1.1000000000000001</v>
      </c>
    </row>
    <row r="218" spans="1:5" x14ac:dyDescent="0.2">
      <c r="A218" s="27" t="s">
        <v>114</v>
      </c>
    </row>
    <row r="220" spans="1:5" ht="13.5" thickBot="1" x14ac:dyDescent="0.25">
      <c r="A220" s="70" t="s">
        <v>249</v>
      </c>
      <c r="E220" s="91">
        <f>E176</f>
        <v>13934000</v>
      </c>
    </row>
    <row r="221" spans="1:5" ht="13.5" thickTop="1" x14ac:dyDescent="0.2"/>
    <row r="223" spans="1:5" x14ac:dyDescent="0.2">
      <c r="A223" s="70" t="s">
        <v>250</v>
      </c>
      <c r="E223" s="50">
        <f>'Page 3'!F11</f>
        <v>33066648</v>
      </c>
    </row>
    <row r="224" spans="1:5" x14ac:dyDescent="0.2">
      <c r="A224" s="70" t="s">
        <v>251</v>
      </c>
      <c r="E224" s="50">
        <v>0</v>
      </c>
    </row>
    <row r="226" spans="1:5" ht="13.5" thickBot="1" x14ac:dyDescent="0.25">
      <c r="E226" s="94">
        <f>SUM(E223:E225)</f>
        <v>33066648</v>
      </c>
    </row>
    <row r="227" spans="1:5" ht="13.5" thickTop="1" x14ac:dyDescent="0.2"/>
    <row r="228" spans="1:5" x14ac:dyDescent="0.2">
      <c r="A228" s="70" t="s">
        <v>126</v>
      </c>
      <c r="E228" s="111">
        <f>E220/E226</f>
        <v>0.42139136691448131</v>
      </c>
    </row>
    <row r="230" spans="1:5" x14ac:dyDescent="0.2">
      <c r="A230" s="70" t="s">
        <v>253</v>
      </c>
      <c r="E230" s="114">
        <v>0.6</v>
      </c>
    </row>
    <row r="234" spans="1:5" x14ac:dyDescent="0.2">
      <c r="A234" s="27" t="s">
        <v>388</v>
      </c>
    </row>
    <row r="235" spans="1:5" x14ac:dyDescent="0.2">
      <c r="A235" s="70"/>
    </row>
    <row r="236" spans="1:5" x14ac:dyDescent="0.2">
      <c r="A236" s="70" t="s">
        <v>390</v>
      </c>
      <c r="E236" s="115">
        <f>'Page 3'!G56</f>
        <v>536694</v>
      </c>
    </row>
    <row r="237" spans="1:5" x14ac:dyDescent="0.2">
      <c r="E237" s="115"/>
    </row>
    <row r="238" spans="1:5" x14ac:dyDescent="0.2">
      <c r="A238" s="70" t="s">
        <v>389</v>
      </c>
      <c r="E238" s="117">
        <v>-800000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selection activeCell="F44" sqref="F44"/>
    </sheetView>
  </sheetViews>
  <sheetFormatPr defaultRowHeight="12.75" x14ac:dyDescent="0.2"/>
  <cols>
    <col min="2" max="2" width="4.5703125" customWidth="1"/>
    <col min="3" max="3" width="5.28515625" customWidth="1"/>
    <col min="4" max="4" width="20.28515625" customWidth="1"/>
    <col min="5" max="5" width="9.140625" customWidth="1"/>
    <col min="6" max="6" width="9.85546875" customWidth="1"/>
    <col min="7" max="7" width="10" customWidth="1"/>
    <col min="8" max="8" width="9.85546875" hidden="1" customWidth="1"/>
  </cols>
  <sheetData>
    <row r="1" spans="1:10" ht="15.75" x14ac:dyDescent="0.25">
      <c r="A1" s="2" t="s">
        <v>27</v>
      </c>
      <c r="B1" s="2"/>
      <c r="C1" s="2"/>
      <c r="D1" s="2"/>
      <c r="E1" s="2"/>
      <c r="F1" s="2"/>
    </row>
    <row r="2" spans="1:10" ht="15.75" x14ac:dyDescent="0.25">
      <c r="A2" s="2"/>
      <c r="B2" s="2"/>
      <c r="C2" s="2"/>
      <c r="D2" s="2"/>
      <c r="E2" s="2"/>
      <c r="F2" s="2"/>
    </row>
    <row r="3" spans="1:10" ht="15.75" x14ac:dyDescent="0.25">
      <c r="A3" s="2" t="s">
        <v>44</v>
      </c>
      <c r="B3" s="2"/>
      <c r="C3" s="2"/>
      <c r="D3" s="2"/>
      <c r="E3" s="2"/>
      <c r="F3" s="1" t="s">
        <v>568</v>
      </c>
      <c r="G3" s="1" t="s">
        <v>570</v>
      </c>
    </row>
    <row r="4" spans="1:10" ht="15.75" x14ac:dyDescent="0.25">
      <c r="A4" s="2"/>
      <c r="B4" s="2"/>
      <c r="C4" s="2"/>
      <c r="D4" s="2"/>
      <c r="E4" s="2"/>
      <c r="F4" s="1" t="s">
        <v>256</v>
      </c>
      <c r="G4" s="1" t="s">
        <v>256</v>
      </c>
      <c r="H4" s="1" t="s">
        <v>257</v>
      </c>
      <c r="I4" s="1"/>
      <c r="J4" s="1" t="s">
        <v>258</v>
      </c>
    </row>
    <row r="5" spans="1:10" ht="15.75" x14ac:dyDescent="0.25">
      <c r="A5" s="2"/>
      <c r="B5" s="2"/>
      <c r="C5" s="2"/>
      <c r="D5" s="2"/>
      <c r="E5" s="2"/>
      <c r="F5" s="45" t="str">
        <f>'Page 5'!E7</f>
        <v>2019/20</v>
      </c>
      <c r="G5" s="45" t="s">
        <v>466</v>
      </c>
      <c r="H5" s="15" t="s">
        <v>237</v>
      </c>
      <c r="I5" s="1"/>
      <c r="J5" s="15" t="s">
        <v>237</v>
      </c>
    </row>
    <row r="6" spans="1:10" x14ac:dyDescent="0.2">
      <c r="A6" s="1"/>
      <c r="F6" s="1"/>
      <c r="G6" s="16"/>
    </row>
    <row r="7" spans="1:10" x14ac:dyDescent="0.2">
      <c r="A7" s="1" t="s">
        <v>201</v>
      </c>
    </row>
    <row r="8" spans="1:10" x14ac:dyDescent="0.2">
      <c r="A8" s="69" t="s">
        <v>348</v>
      </c>
      <c r="B8" s="69"/>
      <c r="C8" s="69"/>
      <c r="D8" s="69"/>
      <c r="E8" s="69"/>
      <c r="F8" s="103">
        <f>CALCS!E19</f>
        <v>1355.6656626506024</v>
      </c>
      <c r="G8" s="38">
        <f>CALCS!F19</f>
        <v>1400.8469879518073</v>
      </c>
      <c r="H8" s="5">
        <f>CALCS!G19</f>
        <v>1251.1508728179551</v>
      </c>
      <c r="J8" s="5">
        <v>1270</v>
      </c>
    </row>
    <row r="9" spans="1:10" x14ac:dyDescent="0.2">
      <c r="A9" s="69" t="s">
        <v>598</v>
      </c>
      <c r="B9" s="69"/>
      <c r="C9" s="69"/>
      <c r="D9" s="69"/>
      <c r="E9" s="69"/>
      <c r="F9" s="103">
        <f>CALCS!E20</f>
        <v>975.41927710843379</v>
      </c>
      <c r="G9" s="103">
        <f>CALCS!F20</f>
        <v>930.23855421686744</v>
      </c>
      <c r="H9" s="5"/>
      <c r="J9" s="103" t="s">
        <v>387</v>
      </c>
    </row>
    <row r="10" spans="1:10" x14ac:dyDescent="0.2">
      <c r="A10" s="69" t="s">
        <v>349</v>
      </c>
      <c r="D10" s="69"/>
      <c r="E10" s="69"/>
      <c r="F10" s="38">
        <f>CALCS!E21</f>
        <v>478.07228915662648</v>
      </c>
      <c r="G10" s="38">
        <f>CALCS!F21</f>
        <v>478.07228915662648</v>
      </c>
      <c r="H10" s="5">
        <f>CALCS!G21</f>
        <v>378.36533665835412</v>
      </c>
      <c r="J10" s="5">
        <v>508</v>
      </c>
    </row>
    <row r="11" spans="1:10" x14ac:dyDescent="0.2">
      <c r="A11" s="69" t="s">
        <v>350</v>
      </c>
      <c r="D11" s="69"/>
      <c r="E11" s="69"/>
      <c r="F11" s="38">
        <f>CALCS!E22</f>
        <v>389.63855421686748</v>
      </c>
      <c r="G11" s="38">
        <f>CALCS!F22</f>
        <v>1157.8313253012047</v>
      </c>
      <c r="H11" s="5">
        <f>CALCS!G22</f>
        <v>304.11471321695763</v>
      </c>
      <c r="J11" s="5">
        <v>392</v>
      </c>
    </row>
    <row r="12" spans="1:10" x14ac:dyDescent="0.2">
      <c r="F12" s="38"/>
      <c r="G12" s="38"/>
    </row>
    <row r="13" spans="1:10" x14ac:dyDescent="0.2">
      <c r="F13" s="15"/>
      <c r="G13" s="15"/>
    </row>
    <row r="14" spans="1:10" x14ac:dyDescent="0.2">
      <c r="A14" s="1" t="s">
        <v>351</v>
      </c>
      <c r="F14" s="37"/>
      <c r="G14" s="37"/>
    </row>
    <row r="15" spans="1:10" x14ac:dyDescent="0.2">
      <c r="A15" s="69" t="s">
        <v>352</v>
      </c>
      <c r="B15" s="69"/>
      <c r="C15" s="69"/>
      <c r="D15" s="69"/>
      <c r="E15" s="69"/>
      <c r="F15" s="31">
        <f>CALCS!E48</f>
        <v>0.60741452445720112</v>
      </c>
      <c r="G15" s="31">
        <f>CALCS!F48</f>
        <v>1.3280185187437417</v>
      </c>
      <c r="H15" s="31">
        <f>CALCS!G48</f>
        <v>1.9675955571926445</v>
      </c>
      <c r="J15" s="33">
        <v>4.17</v>
      </c>
    </row>
    <row r="16" spans="1:10" x14ac:dyDescent="0.2">
      <c r="A16" s="69" t="s">
        <v>353</v>
      </c>
      <c r="B16" s="69"/>
      <c r="C16" s="69"/>
      <c r="D16" s="69"/>
      <c r="E16" s="69"/>
      <c r="F16" s="31">
        <f>CALCS!E73</f>
        <v>24.19005399724983</v>
      </c>
      <c r="G16" s="31">
        <f>CALCS!F73</f>
        <v>-98.4546080384345</v>
      </c>
      <c r="H16" s="31">
        <f>CALCS!G73</f>
        <v>208.34152203822501</v>
      </c>
      <c r="I16" s="69"/>
      <c r="J16" s="33">
        <v>0.60899999999999999</v>
      </c>
    </row>
    <row r="17" spans="1:10" x14ac:dyDescent="0.2">
      <c r="F17" s="40"/>
      <c r="G17" s="40"/>
      <c r="J17" s="20"/>
    </row>
    <row r="18" spans="1:10" x14ac:dyDescent="0.2">
      <c r="F18" s="38"/>
      <c r="G18" s="38"/>
      <c r="J18" s="20"/>
    </row>
    <row r="19" spans="1:10" x14ac:dyDescent="0.2">
      <c r="A19" s="1" t="s">
        <v>354</v>
      </c>
      <c r="F19" s="38"/>
      <c r="G19" s="38"/>
      <c r="J19" s="20"/>
    </row>
    <row r="20" spans="1:10" x14ac:dyDescent="0.2">
      <c r="A20" s="69" t="s">
        <v>355</v>
      </c>
      <c r="F20" s="36">
        <f>CALCS!E90</f>
        <v>9.9926484602608431E-3</v>
      </c>
      <c r="G20" s="36">
        <f>CALCS!F90</f>
        <v>9.9926484602608431E-3</v>
      </c>
      <c r="H20" s="121">
        <f>CALCS!G90</f>
        <v>4.619352330654366E-3</v>
      </c>
      <c r="J20" s="33">
        <v>6.0000000000000001E-3</v>
      </c>
    </row>
    <row r="21" spans="1:10" x14ac:dyDescent="0.2">
      <c r="A21" s="69" t="s">
        <v>356</v>
      </c>
      <c r="F21" s="36">
        <f>CALCS!E91</f>
        <v>5.1797043047349361E-2</v>
      </c>
      <c r="G21" s="36">
        <f>CALCS!F91</f>
        <v>4.6750619435292837E-2</v>
      </c>
      <c r="H21" s="121">
        <f>CALCS!G91</f>
        <v>5.0936433682219374E-2</v>
      </c>
      <c r="J21" s="128" t="s">
        <v>387</v>
      </c>
    </row>
    <row r="22" spans="1:10" x14ac:dyDescent="0.2">
      <c r="A22" s="69" t="s">
        <v>357</v>
      </c>
      <c r="F22" s="36">
        <f>CALCS!E92</f>
        <v>2.6560568519073163E-2</v>
      </c>
      <c r="G22" s="36">
        <f>CALCS!F92</f>
        <v>2.0025866528711848E-2</v>
      </c>
      <c r="H22" s="121">
        <f>CALCS!G92</f>
        <v>2.5787778835247643E-2</v>
      </c>
      <c r="J22" s="33">
        <v>2.3E-2</v>
      </c>
    </row>
    <row r="23" spans="1:10" x14ac:dyDescent="0.2">
      <c r="A23" s="69" t="s">
        <v>358</v>
      </c>
      <c r="F23" s="36">
        <f>CALCS!E93</f>
        <v>1.4850110273096087E-2</v>
      </c>
      <c r="G23" s="36">
        <f>CALCS!F93</f>
        <v>1.4850110273096087E-2</v>
      </c>
      <c r="H23" s="121">
        <f>CALCS!G93</f>
        <v>6.1841245986585802E-3</v>
      </c>
      <c r="J23" s="33">
        <v>6.0000000000000001E-3</v>
      </c>
    </row>
    <row r="24" spans="1:10" x14ac:dyDescent="0.2">
      <c r="A24" s="69" t="s">
        <v>359</v>
      </c>
      <c r="B24" s="69"/>
      <c r="C24" s="69"/>
      <c r="D24" s="69"/>
      <c r="E24" s="69"/>
      <c r="F24" s="122">
        <f>CALCS!E94</f>
        <v>0.17341507773130291</v>
      </c>
      <c r="G24" s="36">
        <f>CALCS!F94</f>
        <v>0.1752737586906572</v>
      </c>
      <c r="H24" s="121">
        <f>CALCS!G94</f>
        <v>0.18961204766071921</v>
      </c>
      <c r="J24" s="33">
        <v>0.20100000000000001</v>
      </c>
    </row>
    <row r="25" spans="1:10" x14ac:dyDescent="0.2">
      <c r="A25" s="69" t="s">
        <v>478</v>
      </c>
      <c r="B25" s="69"/>
      <c r="C25" s="69"/>
      <c r="D25" s="69"/>
      <c r="E25" s="69"/>
      <c r="F25" s="122">
        <f>CALCS!E95</f>
        <v>6.8502041381404352E-2</v>
      </c>
      <c r="G25" s="36">
        <f>CALCS!F95</f>
        <v>6.9236253432964232E-2</v>
      </c>
      <c r="H25" s="121">
        <f>CALCS!G95</f>
        <v>0.10957326559385483</v>
      </c>
      <c r="J25" s="131" t="s">
        <v>387</v>
      </c>
    </row>
    <row r="26" spans="1:10" x14ac:dyDescent="0.2">
      <c r="A26" s="69" t="s">
        <v>431</v>
      </c>
      <c r="B26" s="69"/>
      <c r="C26" s="69"/>
      <c r="D26" s="69"/>
      <c r="E26" s="69"/>
      <c r="F26" s="122">
        <f>CALCS!E96</f>
        <v>8.5909845788849346E-2</v>
      </c>
      <c r="G26" s="122">
        <f>CALCS!F96</f>
        <v>8.5909845788849346E-2</v>
      </c>
      <c r="H26" s="122">
        <f>CALCS!G96</f>
        <v>9.026541581811505E-2</v>
      </c>
      <c r="J26" s="33">
        <v>0.14199999999999999</v>
      </c>
    </row>
    <row r="27" spans="1:10" x14ac:dyDescent="0.2">
      <c r="A27" s="69" t="s">
        <v>382</v>
      </c>
      <c r="B27" s="69"/>
      <c r="C27" s="69"/>
      <c r="D27" s="69"/>
      <c r="E27" s="69"/>
      <c r="F27" s="103">
        <f>CALCS!E97</f>
        <v>5856.8301204819281</v>
      </c>
      <c r="G27" s="103">
        <f>CALCS!F97</f>
        <v>5794.7216867469879</v>
      </c>
      <c r="H27" s="103">
        <f>CALCS!G97</f>
        <v>4924.2493765586032</v>
      </c>
      <c r="I27" s="5"/>
      <c r="J27" s="113">
        <v>5001</v>
      </c>
    </row>
    <row r="29" spans="1:10" x14ac:dyDescent="0.2">
      <c r="A29" s="1" t="s">
        <v>360</v>
      </c>
    </row>
    <row r="30" spans="1:10" x14ac:dyDescent="0.2">
      <c r="A30" s="69" t="s">
        <v>361</v>
      </c>
      <c r="B30" s="69"/>
      <c r="C30" s="69"/>
      <c r="D30" s="69"/>
      <c r="E30" s="69"/>
      <c r="F30" s="123">
        <f>CALCS!E107</f>
        <v>2.1739327122535572</v>
      </c>
      <c r="G30" s="124">
        <f>CALCS!F107</f>
        <v>1.5710070178138018</v>
      </c>
      <c r="H30" s="125">
        <f>CALCS!G107</f>
        <v>1.6721045531320162</v>
      </c>
      <c r="J30">
        <v>1.8</v>
      </c>
    </row>
    <row r="31" spans="1:10" x14ac:dyDescent="0.2">
      <c r="F31" s="31"/>
      <c r="G31" s="33"/>
    </row>
    <row r="32" spans="1:10" x14ac:dyDescent="0.2">
      <c r="F32" s="31"/>
      <c r="G32" s="33"/>
    </row>
    <row r="33" spans="1:10" x14ac:dyDescent="0.2">
      <c r="A33" s="1" t="s">
        <v>362</v>
      </c>
      <c r="F33" s="31"/>
      <c r="G33" s="31"/>
    </row>
    <row r="34" spans="1:10" x14ac:dyDescent="0.2">
      <c r="A34" s="69" t="s">
        <v>122</v>
      </c>
      <c r="B34" s="69"/>
      <c r="C34" s="69"/>
      <c r="D34" s="69"/>
      <c r="E34" s="69"/>
      <c r="F34" s="126">
        <f>CALCS!E123</f>
        <v>0.24410363021734072</v>
      </c>
      <c r="G34" s="127">
        <f>CALCS!F123</f>
        <v>0.11148055594424423</v>
      </c>
      <c r="H34" s="31">
        <f>CALCS!G123</f>
        <v>0.34174506133825983</v>
      </c>
      <c r="J34" s="33">
        <v>0.217</v>
      </c>
    </row>
    <row r="35" spans="1:10" x14ac:dyDescent="0.2">
      <c r="A35" s="69" t="s">
        <v>123</v>
      </c>
      <c r="B35" s="69"/>
      <c r="C35" s="69"/>
      <c r="D35" s="69"/>
      <c r="E35" s="69"/>
      <c r="F35" s="126">
        <f>CALCS!E124</f>
        <v>9.2327997648302296E-2</v>
      </c>
      <c r="G35" s="127">
        <f>CALCS!F124</f>
        <v>-4.2025158333747432E-2</v>
      </c>
      <c r="H35" s="31">
        <f>CALCS!G124</f>
        <v>0.18659982862560162</v>
      </c>
      <c r="J35" s="33">
        <v>0.152</v>
      </c>
    </row>
    <row r="36" spans="1:10" x14ac:dyDescent="0.2">
      <c r="F36" s="31"/>
      <c r="G36" s="31"/>
    </row>
    <row r="37" spans="1:10" x14ac:dyDescent="0.2">
      <c r="A37" s="1" t="s">
        <v>363</v>
      </c>
      <c r="F37" s="31"/>
      <c r="G37" s="36"/>
    </row>
    <row r="38" spans="1:10" x14ac:dyDescent="0.2">
      <c r="A38" s="69" t="s">
        <v>458</v>
      </c>
      <c r="F38" s="34">
        <f>CALCS!E144</f>
        <v>3.0062727710145438</v>
      </c>
      <c r="G38" s="34">
        <f>CALCS!F144</f>
        <v>3.0233467557409432</v>
      </c>
      <c r="H38" s="34">
        <f>CALCS!G144</f>
        <v>3.4363873831169882</v>
      </c>
      <c r="J38" s="129">
        <v>2.1</v>
      </c>
    </row>
    <row r="39" spans="1:10" x14ac:dyDescent="0.2">
      <c r="A39" s="69" t="s">
        <v>364</v>
      </c>
      <c r="F39" s="5">
        <f>CALCS!E145</f>
        <v>17607.22891566265</v>
      </c>
      <c r="G39" s="5">
        <f>CALCS!F145</f>
        <v>17519.453012048194</v>
      </c>
      <c r="H39" s="5">
        <f>CALCS!G145</f>
        <v>16921.628428927681</v>
      </c>
      <c r="I39" s="69"/>
      <c r="J39" s="5">
        <v>10584</v>
      </c>
    </row>
    <row r="40" spans="1:10" x14ac:dyDescent="0.2">
      <c r="A40" s="69" t="s">
        <v>365</v>
      </c>
      <c r="F40" s="5">
        <f>CALCS!E146</f>
        <v>15641.755228915663</v>
      </c>
      <c r="G40" s="5">
        <f>CALCS!F146</f>
        <v>16196.850602409639</v>
      </c>
      <c r="H40" s="5">
        <f>CALCS!G146</f>
        <v>15664.612219451372</v>
      </c>
      <c r="I40" s="69"/>
      <c r="J40" s="5">
        <v>7315</v>
      </c>
    </row>
    <row r="41" spans="1:10" x14ac:dyDescent="0.2">
      <c r="F41" s="31"/>
      <c r="G41" s="31"/>
    </row>
    <row r="42" spans="1:10" x14ac:dyDescent="0.2">
      <c r="F42" s="31"/>
      <c r="G42" s="31"/>
    </row>
    <row r="43" spans="1:10" x14ac:dyDescent="0.2">
      <c r="A43" s="1" t="s">
        <v>433</v>
      </c>
      <c r="F43" s="33"/>
      <c r="G43" s="33"/>
    </row>
    <row r="44" spans="1:10" x14ac:dyDescent="0.2">
      <c r="A44" s="69" t="s">
        <v>434</v>
      </c>
      <c r="F44" s="31">
        <f>CALCS!E157</f>
        <v>0.25203176437601738</v>
      </c>
      <c r="G44" s="31">
        <f>CALCS!F157</f>
        <v>0.24359912916179016</v>
      </c>
      <c r="H44" s="31">
        <f>CALCS!G157</f>
        <v>0.14937172849109501</v>
      </c>
      <c r="J44" s="33">
        <v>0.185</v>
      </c>
    </row>
    <row r="45" spans="1:10" x14ac:dyDescent="0.2">
      <c r="A45" s="69" t="s">
        <v>435</v>
      </c>
      <c r="F45" s="31">
        <f>CALCS!E164</f>
        <v>-6.0041933915318098E-2</v>
      </c>
      <c r="G45" s="31">
        <f>CALCS!F164</f>
        <v>-7.5147192398062168E-2</v>
      </c>
      <c r="H45" s="31">
        <f>CALCS!G164</f>
        <v>-4.7903286515771658E-2</v>
      </c>
      <c r="J45" s="33">
        <f>-0.003</f>
        <v>-3.0000000000000001E-3</v>
      </c>
    </row>
    <row r="46" spans="1:10" x14ac:dyDescent="0.2">
      <c r="A46" s="13"/>
      <c r="G46" s="20"/>
    </row>
    <row r="47" spans="1:10" x14ac:dyDescent="0.2">
      <c r="A47" s="13"/>
      <c r="F47" s="34"/>
      <c r="G47" s="35"/>
    </row>
    <row r="48" spans="1:10" x14ac:dyDescent="0.2">
      <c r="A48" s="13"/>
    </row>
    <row r="49" spans="1:7" x14ac:dyDescent="0.2">
      <c r="A49" s="13"/>
      <c r="G49" s="19"/>
    </row>
    <row r="50" spans="1:7" x14ac:dyDescent="0.2">
      <c r="F50" s="30"/>
      <c r="G50" s="29"/>
    </row>
    <row r="51" spans="1:7" x14ac:dyDescent="0.2">
      <c r="F51" s="30"/>
      <c r="G51" s="29"/>
    </row>
    <row r="52" spans="1:7" x14ac:dyDescent="0.2">
      <c r="F52" s="30"/>
      <c r="G52" s="29"/>
    </row>
    <row r="53" spans="1:7" x14ac:dyDescent="0.2">
      <c r="F53" s="30"/>
      <c r="G53" s="30"/>
    </row>
    <row r="54" spans="1:7" x14ac:dyDescent="0.2">
      <c r="F54" s="30"/>
      <c r="G54" s="29"/>
    </row>
    <row r="55" spans="1:7" x14ac:dyDescent="0.2">
      <c r="F55" s="30"/>
      <c r="G55" s="30"/>
    </row>
    <row r="56" spans="1:7" x14ac:dyDescent="0.2">
      <c r="F56" s="30"/>
      <c r="G56" s="29"/>
    </row>
    <row r="57" spans="1:7" x14ac:dyDescent="0.2">
      <c r="F57" s="30"/>
      <c r="G57" s="30"/>
    </row>
    <row r="58" spans="1:7" x14ac:dyDescent="0.2">
      <c r="F58" s="30"/>
      <c r="G58" s="29"/>
    </row>
    <row r="61" spans="1:7" x14ac:dyDescent="0.2">
      <c r="G61" s="18"/>
    </row>
    <row r="63" spans="1:7" x14ac:dyDescent="0.2">
      <c r="G63" s="21"/>
    </row>
    <row r="65" spans="7:7" x14ac:dyDescent="0.2">
      <c r="G65" s="21"/>
    </row>
    <row r="66" spans="7:7" x14ac:dyDescent="0.2">
      <c r="G66" s="20"/>
    </row>
    <row r="67" spans="7:7" x14ac:dyDescent="0.2">
      <c r="G67" s="17"/>
    </row>
    <row r="69" spans="7:7" x14ac:dyDescent="0.2">
      <c r="G69" s="21"/>
    </row>
    <row r="71" spans="7:7" x14ac:dyDescent="0.2">
      <c r="G71" s="21"/>
    </row>
    <row r="73" spans="7:7" x14ac:dyDescent="0.2">
      <c r="G73" s="21"/>
    </row>
  </sheetData>
  <phoneticPr fontId="0" type="noConversion"/>
  <pageMargins left="0.62992125984251968" right="0.23622047244094491" top="0.74803149606299213" bottom="0.74803149606299213" header="0.31496062992125984" footer="0.31496062992125984"/>
  <pageSetup paperSize="9" orientation="portrait" r:id="rId1"/>
  <headerFooter alignWithMargins="0">
    <oddFooter>&amp;CPage 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5" workbookViewId="0">
      <selection activeCell="E35" sqref="E35"/>
    </sheetView>
  </sheetViews>
  <sheetFormatPr defaultRowHeight="12.75" x14ac:dyDescent="0.2"/>
  <cols>
    <col min="3" max="3" width="9.140625" customWidth="1"/>
    <col min="4" max="4" width="13.42578125" customWidth="1"/>
    <col min="5" max="5" width="12.85546875" customWidth="1"/>
    <col min="6" max="6" width="9.140625" customWidth="1"/>
    <col min="10" max="10" width="14.85546875" bestFit="1" customWidth="1"/>
    <col min="12" max="12" width="15" customWidth="1"/>
    <col min="14" max="14" width="13.85546875" bestFit="1" customWidth="1"/>
  </cols>
  <sheetData>
    <row r="1" spans="1:7" ht="15.75" x14ac:dyDescent="0.25">
      <c r="A1" s="2" t="s">
        <v>27</v>
      </c>
    </row>
    <row r="2" spans="1:7" ht="15.75" x14ac:dyDescent="0.25">
      <c r="A2" s="2" t="s">
        <v>80</v>
      </c>
      <c r="C2" s="39" t="str">
        <f>'Page 10'!E3</f>
        <v>2019/20</v>
      </c>
    </row>
    <row r="3" spans="1:7" ht="15.75" x14ac:dyDescent="0.25">
      <c r="A3" s="2"/>
    </row>
    <row r="4" spans="1:7" ht="15.75" x14ac:dyDescent="0.25">
      <c r="A4" s="2" t="s">
        <v>127</v>
      </c>
    </row>
    <row r="6" spans="1:7" x14ac:dyDescent="0.2">
      <c r="A6" s="69" t="s">
        <v>236</v>
      </c>
    </row>
    <row r="7" spans="1:7" x14ac:dyDescent="0.2">
      <c r="A7" s="69" t="s">
        <v>254</v>
      </c>
    </row>
    <row r="8" spans="1:7" x14ac:dyDescent="0.2">
      <c r="A8" s="69" t="s">
        <v>255</v>
      </c>
    </row>
    <row r="9" spans="1:7" x14ac:dyDescent="0.2">
      <c r="A9" s="69"/>
    </row>
    <row r="10" spans="1:7" x14ac:dyDescent="0.2">
      <c r="A10" s="69" t="s">
        <v>386</v>
      </c>
    </row>
    <row r="11" spans="1:7" x14ac:dyDescent="0.2">
      <c r="A11" s="69"/>
    </row>
    <row r="12" spans="1:7" x14ac:dyDescent="0.2">
      <c r="A12" s="69"/>
    </row>
    <row r="13" spans="1:7" x14ac:dyDescent="0.2">
      <c r="A13" s="69"/>
      <c r="D13" s="1"/>
      <c r="E13" s="1"/>
      <c r="F13" s="1"/>
      <c r="G13" s="1"/>
    </row>
    <row r="14" spans="1:7" x14ac:dyDescent="0.2">
      <c r="D14" s="1" t="s">
        <v>176</v>
      </c>
      <c r="E14" s="12" t="s">
        <v>80</v>
      </c>
      <c r="F14" s="1"/>
      <c r="G14" s="1"/>
    </row>
    <row r="15" spans="1:7" x14ac:dyDescent="0.2">
      <c r="D15" s="1"/>
      <c r="E15" s="45" t="s">
        <v>466</v>
      </c>
      <c r="F15" s="1"/>
      <c r="G15" s="1"/>
    </row>
    <row r="16" spans="1:7" x14ac:dyDescent="0.2">
      <c r="D16" s="67"/>
      <c r="E16" s="45"/>
      <c r="F16" s="1"/>
      <c r="G16" s="1" t="s">
        <v>198</v>
      </c>
    </row>
    <row r="17" spans="1:14" x14ac:dyDescent="0.2">
      <c r="D17" s="1"/>
      <c r="E17" s="15"/>
      <c r="F17" s="1"/>
      <c r="G17" s="1"/>
    </row>
    <row r="18" spans="1:14" x14ac:dyDescent="0.2">
      <c r="G18" s="69"/>
    </row>
    <row r="19" spans="1:14" x14ac:dyDescent="0.2">
      <c r="N19" s="5"/>
    </row>
    <row r="20" spans="1:14" x14ac:dyDescent="0.2">
      <c r="A20" s="1" t="s">
        <v>530</v>
      </c>
      <c r="D20" s="105">
        <f>CALCS!E190</f>
        <v>25891966.363636363</v>
      </c>
      <c r="E20" s="19">
        <f>CALCS!E176</f>
        <v>13934000</v>
      </c>
      <c r="G20" s="69" t="s">
        <v>235</v>
      </c>
      <c r="N20" s="5"/>
    </row>
    <row r="21" spans="1:14" x14ac:dyDescent="0.2">
      <c r="D21" s="1"/>
      <c r="E21" s="1"/>
      <c r="F21" s="1"/>
      <c r="G21" s="1"/>
      <c r="N21" s="5"/>
    </row>
    <row r="22" spans="1:14" x14ac:dyDescent="0.2">
      <c r="A22" s="69" t="s">
        <v>401</v>
      </c>
      <c r="D22" s="1"/>
      <c r="E22" s="1"/>
      <c r="F22" s="1"/>
      <c r="G22" s="1"/>
      <c r="N22" s="5"/>
    </row>
    <row r="23" spans="1:14" x14ac:dyDescent="0.2">
      <c r="A23" s="69" t="s">
        <v>599</v>
      </c>
      <c r="D23" s="1"/>
      <c r="E23" s="1"/>
      <c r="F23" s="1"/>
      <c r="G23" s="1"/>
      <c r="N23" s="5"/>
    </row>
    <row r="24" spans="1:14" x14ac:dyDescent="0.2">
      <c r="G24" s="69"/>
    </row>
    <row r="25" spans="1:14" x14ac:dyDescent="0.2">
      <c r="G25" s="69"/>
    </row>
    <row r="26" spans="1:14" x14ac:dyDescent="0.2">
      <c r="D26" s="5"/>
      <c r="E26" s="19"/>
      <c r="G26" s="69"/>
    </row>
    <row r="27" spans="1:14" x14ac:dyDescent="0.2">
      <c r="A27" s="1" t="s">
        <v>531</v>
      </c>
      <c r="D27" s="20">
        <f>CALCS!E215</f>
        <v>1.1000000000000001</v>
      </c>
      <c r="E27" s="20">
        <f>CALCS!E213</f>
        <v>1.3775867672711157</v>
      </c>
      <c r="G27" s="69" t="s">
        <v>235</v>
      </c>
    </row>
    <row r="28" spans="1:14" x14ac:dyDescent="0.2">
      <c r="A28" s="69"/>
    </row>
    <row r="29" spans="1:14" x14ac:dyDescent="0.2">
      <c r="A29" s="69" t="s">
        <v>459</v>
      </c>
    </row>
    <row r="30" spans="1:14" x14ac:dyDescent="0.2">
      <c r="A30" s="69" t="s">
        <v>482</v>
      </c>
    </row>
    <row r="31" spans="1:14" x14ac:dyDescent="0.2">
      <c r="A31" s="69" t="s">
        <v>402</v>
      </c>
    </row>
    <row r="32" spans="1:14" x14ac:dyDescent="0.2">
      <c r="A32" s="69"/>
    </row>
    <row r="33" spans="1:7" x14ac:dyDescent="0.2">
      <c r="A33" s="69"/>
      <c r="D33" s="71"/>
      <c r="E33" s="32"/>
      <c r="G33" s="69"/>
    </row>
    <row r="34" spans="1:7" x14ac:dyDescent="0.2">
      <c r="A34" s="69"/>
    </row>
    <row r="35" spans="1:7" x14ac:dyDescent="0.2">
      <c r="A35" s="1" t="s">
        <v>532</v>
      </c>
      <c r="D35" s="17">
        <f>CALCS!E230</f>
        <v>0.6</v>
      </c>
      <c r="E35" s="17">
        <f>CALCS!E228</f>
        <v>0.42139136691448131</v>
      </c>
      <c r="G35" s="69" t="s">
        <v>235</v>
      </c>
    </row>
    <row r="36" spans="1:7" x14ac:dyDescent="0.2">
      <c r="A36" s="69"/>
    </row>
    <row r="37" spans="1:7" x14ac:dyDescent="0.2">
      <c r="A37" s="69" t="s">
        <v>404</v>
      </c>
      <c r="D37" s="19"/>
      <c r="E37" s="38"/>
      <c r="G37" s="69"/>
    </row>
    <row r="38" spans="1:7" x14ac:dyDescent="0.2">
      <c r="A38" t="s">
        <v>403</v>
      </c>
    </row>
    <row r="39" spans="1:7" x14ac:dyDescent="0.2">
      <c r="A39" s="69"/>
    </row>
    <row r="41" spans="1:7" x14ac:dyDescent="0.2">
      <c r="A41" s="1" t="s">
        <v>533</v>
      </c>
      <c r="D41" s="116">
        <f>CALCS!E238</f>
        <v>-800000</v>
      </c>
      <c r="E41" s="116">
        <f>CALCS!E236</f>
        <v>536694</v>
      </c>
      <c r="G41" s="69" t="s">
        <v>235</v>
      </c>
    </row>
    <row r="42" spans="1:7" x14ac:dyDescent="0.2">
      <c r="A42" s="69"/>
    </row>
    <row r="43" spans="1:7" x14ac:dyDescent="0.2">
      <c r="A43" s="69" t="s">
        <v>473</v>
      </c>
    </row>
    <row r="44" spans="1:7" x14ac:dyDescent="0.2">
      <c r="A44" s="69" t="s">
        <v>406</v>
      </c>
    </row>
    <row r="45" spans="1:7" x14ac:dyDescent="0.2">
      <c r="A45" s="69" t="s">
        <v>405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37" sqref="J37"/>
    </sheetView>
  </sheetViews>
  <sheetFormatPr defaultColWidth="10.42578125" defaultRowHeight="12.75" x14ac:dyDescent="0.2"/>
  <cols>
    <col min="1" max="16384" width="10.42578125" style="5"/>
  </cols>
  <sheetData>
    <row r="1" spans="1:10" ht="15.75" x14ac:dyDescent="0.25">
      <c r="A1" s="39" t="s">
        <v>27</v>
      </c>
    </row>
    <row r="2" spans="1:10" ht="15.75" x14ac:dyDescent="0.25">
      <c r="A2" s="39" t="s">
        <v>180</v>
      </c>
    </row>
    <row r="4" spans="1:10" x14ac:dyDescent="0.2">
      <c r="F4" s="22" t="s">
        <v>576</v>
      </c>
    </row>
    <row r="5" spans="1:10" x14ac:dyDescent="0.2">
      <c r="D5" s="22" t="s">
        <v>46</v>
      </c>
      <c r="E5" s="22"/>
      <c r="F5" s="22" t="s">
        <v>80</v>
      </c>
      <c r="G5" s="22"/>
      <c r="H5" s="22"/>
    </row>
    <row r="6" spans="1:10" x14ac:dyDescent="0.2">
      <c r="D6" s="22" t="s">
        <v>523</v>
      </c>
      <c r="E6" s="22"/>
      <c r="F6" s="89" t="str">
        <f>'Page 12'!C2</f>
        <v>2019/20</v>
      </c>
      <c r="G6" s="22"/>
      <c r="H6" s="22" t="s">
        <v>47</v>
      </c>
    </row>
    <row r="8" spans="1:10" x14ac:dyDescent="0.2">
      <c r="A8" s="22" t="s">
        <v>337</v>
      </c>
      <c r="B8" s="22"/>
      <c r="C8" s="22"/>
      <c r="D8" s="22">
        <v>1519801</v>
      </c>
      <c r="E8" s="22"/>
      <c r="F8" s="22">
        <f>'Page 10'!P7</f>
        <v>2308725</v>
      </c>
      <c r="G8" s="22"/>
      <c r="H8" s="22">
        <f>F8-D8</f>
        <v>788924</v>
      </c>
      <c r="J8" s="72" t="s">
        <v>590</v>
      </c>
    </row>
    <row r="10" spans="1:10" x14ac:dyDescent="0.2">
      <c r="A10" s="22" t="s">
        <v>203</v>
      </c>
    </row>
    <row r="11" spans="1:10" x14ac:dyDescent="0.2">
      <c r="A11" s="72" t="s">
        <v>315</v>
      </c>
      <c r="D11" s="5">
        <f>3607670</f>
        <v>3607670</v>
      </c>
      <c r="F11" s="5">
        <f>'Page 8'!R7</f>
        <v>3668700</v>
      </c>
      <c r="G11" s="72"/>
      <c r="H11" s="5">
        <f>F11-D11</f>
        <v>61030</v>
      </c>
      <c r="J11" s="5" t="s">
        <v>524</v>
      </c>
    </row>
    <row r="12" spans="1:10" x14ac:dyDescent="0.2">
      <c r="A12" s="72" t="s">
        <v>366</v>
      </c>
      <c r="D12" s="5">
        <v>4510</v>
      </c>
      <c r="F12" s="5">
        <f>'Page 8'!R8</f>
        <v>4000</v>
      </c>
      <c r="G12" s="72"/>
      <c r="H12" s="5">
        <f t="shared" ref="H12:H20" si="0">F12-D12</f>
        <v>-510</v>
      </c>
    </row>
    <row r="13" spans="1:10" x14ac:dyDescent="0.2">
      <c r="A13" s="72" t="s">
        <v>53</v>
      </c>
      <c r="D13" s="5">
        <f>-36077</f>
        <v>-36077</v>
      </c>
      <c r="F13" s="5">
        <f>'Page 8'!R11+'Page 8'!R12</f>
        <v>-36700</v>
      </c>
      <c r="G13" s="72"/>
      <c r="H13" s="5">
        <f t="shared" si="0"/>
        <v>-623</v>
      </c>
    </row>
    <row r="14" spans="1:10" x14ac:dyDescent="0.2">
      <c r="A14" s="72" t="s">
        <v>56</v>
      </c>
      <c r="D14" s="5">
        <f>-54115</f>
        <v>-54115</v>
      </c>
      <c r="F14" s="5">
        <f>-'Page 10'!P23</f>
        <v>-54540</v>
      </c>
      <c r="H14" s="5">
        <f t="shared" si="0"/>
        <v>-425</v>
      </c>
    </row>
    <row r="15" spans="1:10" x14ac:dyDescent="0.2">
      <c r="A15" s="72" t="s">
        <v>342</v>
      </c>
      <c r="D15" s="5">
        <v>3681000</v>
      </c>
      <c r="F15" s="5">
        <f>'Page 9'!Q25</f>
        <v>1000000</v>
      </c>
      <c r="H15" s="5">
        <f t="shared" si="0"/>
        <v>-2681000</v>
      </c>
      <c r="J15" s="5" t="s">
        <v>525</v>
      </c>
    </row>
    <row r="16" spans="1:10" x14ac:dyDescent="0.2">
      <c r="A16" s="72" t="s">
        <v>104</v>
      </c>
      <c r="D16" s="5">
        <v>5622</v>
      </c>
      <c r="F16" s="5">
        <f>'Page 10'!P14</f>
        <v>2200</v>
      </c>
      <c r="G16" s="72"/>
      <c r="H16" s="5">
        <f t="shared" si="0"/>
        <v>-3422</v>
      </c>
    </row>
    <row r="17" spans="1:10" x14ac:dyDescent="0.2">
      <c r="A17" s="72" t="s">
        <v>367</v>
      </c>
      <c r="D17" s="5">
        <v>1065000</v>
      </c>
      <c r="F17" s="5">
        <f>'Page 10'!P15</f>
        <v>0</v>
      </c>
      <c r="G17" s="72"/>
      <c r="H17" s="5">
        <f>F17-D17</f>
        <v>-1065000</v>
      </c>
      <c r="J17" s="5" t="s">
        <v>527</v>
      </c>
    </row>
    <row r="18" spans="1:10" x14ac:dyDescent="0.2">
      <c r="A18" s="72" t="s">
        <v>368</v>
      </c>
      <c r="D18" s="5">
        <v>0</v>
      </c>
      <c r="F18" s="5">
        <f>'Page 1'!F18</f>
        <v>0</v>
      </c>
      <c r="H18" s="5">
        <f t="shared" si="0"/>
        <v>0</v>
      </c>
    </row>
    <row r="19" spans="1:10" x14ac:dyDescent="0.2">
      <c r="A19" s="72" t="s">
        <v>522</v>
      </c>
      <c r="D19" s="5">
        <v>822000</v>
      </c>
      <c r="F19" s="5">
        <f>'Page 10'!P16</f>
        <v>822000</v>
      </c>
      <c r="H19" s="5">
        <f t="shared" si="0"/>
        <v>0</v>
      </c>
    </row>
    <row r="20" spans="1:10" x14ac:dyDescent="0.2">
      <c r="A20" s="72" t="s">
        <v>325</v>
      </c>
      <c r="D20" s="5">
        <v>88150</v>
      </c>
      <c r="F20" s="5">
        <f>'Page 8'!R17+'Page 8'!R26</f>
        <v>785350</v>
      </c>
      <c r="G20" s="72"/>
      <c r="H20" s="5">
        <f t="shared" si="0"/>
        <v>697200</v>
      </c>
      <c r="J20" s="5" t="s">
        <v>526</v>
      </c>
    </row>
    <row r="21" spans="1:10" x14ac:dyDescent="0.2">
      <c r="A21" s="72" t="s">
        <v>369</v>
      </c>
      <c r="D21" s="7">
        <f>SUM(D11:D20)</f>
        <v>9183760</v>
      </c>
      <c r="F21" s="7">
        <f>SUM(F11:F20)</f>
        <v>6191010</v>
      </c>
      <c r="H21" s="7">
        <f>SUM(H11:H20)</f>
        <v>-2992750</v>
      </c>
    </row>
    <row r="24" spans="1:10" x14ac:dyDescent="0.2">
      <c r="A24" s="22" t="s">
        <v>343</v>
      </c>
    </row>
    <row r="25" spans="1:10" x14ac:dyDescent="0.2">
      <c r="A25" s="72" t="s">
        <v>370</v>
      </c>
      <c r="D25" s="5">
        <f>3097000</f>
        <v>3097000</v>
      </c>
      <c r="F25" s="5">
        <f>'Page 10'!P28</f>
        <v>1998866</v>
      </c>
      <c r="H25" s="5">
        <f>D25-F25</f>
        <v>1098134</v>
      </c>
      <c r="J25" s="5" t="s">
        <v>527</v>
      </c>
    </row>
    <row r="26" spans="1:10" x14ac:dyDescent="0.2">
      <c r="A26" s="72" t="s">
        <v>59</v>
      </c>
      <c r="D26" s="5">
        <f>569341</f>
        <v>569341</v>
      </c>
      <c r="F26" s="5">
        <f>'Page 7'!K55</f>
        <v>91200</v>
      </c>
      <c r="G26" s="72"/>
      <c r="H26" s="5">
        <f t="shared" ref="H26:H36" si="1">D26-F26</f>
        <v>478141</v>
      </c>
      <c r="J26" s="72" t="s">
        <v>575</v>
      </c>
    </row>
    <row r="27" spans="1:10" x14ac:dyDescent="0.2">
      <c r="A27" s="72" t="s">
        <v>58</v>
      </c>
      <c r="D27" s="5">
        <v>189490</v>
      </c>
      <c r="F27" s="5">
        <f>'Page 7'!J55</f>
        <v>232200</v>
      </c>
      <c r="G27" s="72"/>
      <c r="H27" s="5">
        <f t="shared" si="1"/>
        <v>-42710</v>
      </c>
      <c r="J27" s="72" t="s">
        <v>591</v>
      </c>
    </row>
    <row r="28" spans="1:10" x14ac:dyDescent="0.2">
      <c r="A28" s="72" t="s">
        <v>481</v>
      </c>
      <c r="D28" s="5">
        <v>334585</v>
      </c>
      <c r="F28" s="5">
        <f>'Page 7'!I55</f>
        <v>396800</v>
      </c>
      <c r="G28" s="72"/>
      <c r="H28" s="5">
        <f t="shared" si="1"/>
        <v>-62215</v>
      </c>
      <c r="J28" s="72" t="s">
        <v>591</v>
      </c>
    </row>
    <row r="29" spans="1:10" x14ac:dyDescent="0.2">
      <c r="A29" s="72" t="s">
        <v>371</v>
      </c>
      <c r="D29" s="5">
        <v>71750</v>
      </c>
      <c r="F29" s="5">
        <f>'Page 5'!E35</f>
        <v>66000</v>
      </c>
      <c r="H29" s="5">
        <f t="shared" si="1"/>
        <v>5750</v>
      </c>
    </row>
    <row r="30" spans="1:10" x14ac:dyDescent="0.2">
      <c r="A30" s="72" t="s">
        <v>372</v>
      </c>
      <c r="D30" s="5">
        <f>1105103-27500</f>
        <v>1077603</v>
      </c>
      <c r="F30" s="5">
        <f>'Page 7'!F55+'Page 7'!G55-'Page 7'!D33-'Page 7'!D29+'Page 7'!N55+'Page 7'!O55+'Page 7'!R55-'Page 2'!F47</f>
        <v>1029502.5</v>
      </c>
      <c r="H30" s="5">
        <f t="shared" si="1"/>
        <v>48100.5</v>
      </c>
      <c r="J30" s="72" t="s">
        <v>592</v>
      </c>
    </row>
    <row r="31" spans="1:10" x14ac:dyDescent="0.2">
      <c r="A31" s="72" t="s">
        <v>373</v>
      </c>
      <c r="D31" s="5">
        <f>27500</f>
        <v>27500</v>
      </c>
      <c r="F31" s="5">
        <f>'Page 2'!F47</f>
        <v>809597.5</v>
      </c>
      <c r="H31" s="5">
        <f t="shared" si="1"/>
        <v>-782097.5</v>
      </c>
      <c r="J31" s="72" t="s">
        <v>528</v>
      </c>
    </row>
    <row r="32" spans="1:10" x14ac:dyDescent="0.2">
      <c r="A32" s="72" t="s">
        <v>374</v>
      </c>
      <c r="D32" s="5">
        <v>5125</v>
      </c>
      <c r="F32" s="5">
        <f>'Page 10'!P29</f>
        <v>35000</v>
      </c>
      <c r="H32" s="5">
        <f t="shared" si="1"/>
        <v>-29875</v>
      </c>
      <c r="J32" s="72" t="s">
        <v>593</v>
      </c>
    </row>
    <row r="33" spans="1:10" x14ac:dyDescent="0.2">
      <c r="A33" s="72" t="s">
        <v>105</v>
      </c>
      <c r="D33" s="5">
        <f>725172</f>
        <v>725172</v>
      </c>
      <c r="F33" s="5">
        <f>'Page 10'!P26</f>
        <v>740007</v>
      </c>
      <c r="H33" s="5">
        <f t="shared" si="1"/>
        <v>-14835</v>
      </c>
    </row>
    <row r="34" spans="1:10" x14ac:dyDescent="0.2">
      <c r="A34" s="72" t="s">
        <v>425</v>
      </c>
      <c r="D34" s="5">
        <f>4581172-725172</f>
        <v>3856000</v>
      </c>
      <c r="F34" s="5">
        <f>'Page 10'!P27</f>
        <v>175000</v>
      </c>
      <c r="H34" s="5">
        <f t="shared" si="1"/>
        <v>3681000</v>
      </c>
      <c r="J34" s="72" t="s">
        <v>594</v>
      </c>
    </row>
    <row r="35" spans="1:10" x14ac:dyDescent="0.2">
      <c r="A35" s="72" t="s">
        <v>375</v>
      </c>
      <c r="D35" s="5">
        <v>47817</v>
      </c>
      <c r="F35" s="5">
        <f>'Page 10'!P30</f>
        <v>47816.840000000004</v>
      </c>
      <c r="H35" s="5">
        <f t="shared" si="1"/>
        <v>0.1599999999962165</v>
      </c>
    </row>
    <row r="36" spans="1:10" x14ac:dyDescent="0.2">
      <c r="A36" s="72" t="s">
        <v>376</v>
      </c>
      <c r="D36" s="5">
        <f>-32586</f>
        <v>-32586</v>
      </c>
      <c r="F36" s="5">
        <f>'Page 10'!P32+'Page 10'!P31</f>
        <v>1246402</v>
      </c>
      <c r="H36" s="5">
        <f t="shared" si="1"/>
        <v>-1278988</v>
      </c>
      <c r="J36" s="72" t="s">
        <v>595</v>
      </c>
    </row>
    <row r="38" spans="1:10" x14ac:dyDescent="0.2">
      <c r="D38" s="7">
        <f>SUM(D25:D37)</f>
        <v>9968797</v>
      </c>
      <c r="F38" s="7">
        <f>SUM(F25:F37)</f>
        <v>6868391.8399999999</v>
      </c>
      <c r="H38" s="7">
        <f>SUM(H25:H37)</f>
        <v>3100405.16</v>
      </c>
    </row>
    <row r="42" spans="1:10" ht="13.5" thickBot="1" x14ac:dyDescent="0.25">
      <c r="A42" s="72" t="s">
        <v>347</v>
      </c>
      <c r="D42" s="9">
        <f>D8+D21-D38</f>
        <v>734764</v>
      </c>
      <c r="F42" s="9">
        <f>F8+F21-F38</f>
        <v>1631343.1600000001</v>
      </c>
      <c r="H42" s="9">
        <f>H8+H21+H38</f>
        <v>896579.16000000015</v>
      </c>
    </row>
    <row r="43" spans="1:10" ht="13.5" thickTop="1" x14ac:dyDescent="0.2"/>
    <row r="45" spans="1:10" x14ac:dyDescent="0.2">
      <c r="A45" s="72"/>
      <c r="B45" s="72"/>
    </row>
    <row r="46" spans="1:10" x14ac:dyDescent="0.2">
      <c r="A46" s="72"/>
    </row>
    <row r="47" spans="1:10" x14ac:dyDescent="0.2">
      <c r="A47" s="72"/>
      <c r="B47" s="72"/>
    </row>
    <row r="48" spans="1:10" x14ac:dyDescent="0.2">
      <c r="A48" s="72"/>
    </row>
    <row r="49" spans="1:6" x14ac:dyDescent="0.2">
      <c r="A49" s="72"/>
      <c r="B49" s="72"/>
    </row>
    <row r="50" spans="1:6" x14ac:dyDescent="0.2">
      <c r="A50" s="72"/>
      <c r="B50" s="72"/>
    </row>
    <row r="51" spans="1:6" x14ac:dyDescent="0.2">
      <c r="A51" s="72"/>
      <c r="B51" s="72"/>
    </row>
    <row r="52" spans="1:6" x14ac:dyDescent="0.2">
      <c r="A52" s="72"/>
    </row>
    <row r="53" spans="1:6" x14ac:dyDescent="0.2">
      <c r="A53" s="72"/>
      <c r="F53" s="72"/>
    </row>
    <row r="54" spans="1:6" x14ac:dyDescent="0.2">
      <c r="A54" s="72"/>
      <c r="F54" s="72"/>
    </row>
    <row r="55" spans="1:6" x14ac:dyDescent="0.2">
      <c r="A55" s="72"/>
    </row>
    <row r="56" spans="1:6" x14ac:dyDescent="0.2">
      <c r="A56" s="72"/>
    </row>
    <row r="57" spans="1:6" x14ac:dyDescent="0.2">
      <c r="A57" s="72"/>
    </row>
    <row r="58" spans="1:6" x14ac:dyDescent="0.2">
      <c r="A58" s="72"/>
      <c r="D58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&amp;CPage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17" workbookViewId="0">
      <selection activeCell="E46" sqref="E46"/>
    </sheetView>
  </sheetViews>
  <sheetFormatPr defaultRowHeight="12.75" x14ac:dyDescent="0.2"/>
  <cols>
    <col min="2" max="4" width="9.140625" customWidth="1"/>
    <col min="5" max="5" width="11.7109375" customWidth="1"/>
    <col min="6" max="6" width="11.5703125" customWidth="1"/>
    <col min="7" max="7" width="14.7109375" customWidth="1"/>
    <col min="8" max="8" width="10.85546875" customWidth="1"/>
  </cols>
  <sheetData>
    <row r="1" spans="1:8" ht="15.75" x14ac:dyDescent="0.25">
      <c r="A1" s="2" t="s">
        <v>27</v>
      </c>
      <c r="B1" s="2"/>
      <c r="C1" s="2"/>
      <c r="D1" s="2"/>
    </row>
    <row r="3" spans="1:8" ht="15.75" x14ac:dyDescent="0.25">
      <c r="A3" s="2" t="s">
        <v>138</v>
      </c>
    </row>
    <row r="4" spans="1:8" ht="13.5" customHeight="1" x14ac:dyDescent="0.25">
      <c r="A4" s="2"/>
    </row>
    <row r="5" spans="1:8" ht="13.5" customHeight="1" x14ac:dyDescent="0.25">
      <c r="A5" s="2"/>
      <c r="F5" s="12" t="s">
        <v>568</v>
      </c>
      <c r="G5" s="12"/>
      <c r="H5" s="12" t="s">
        <v>570</v>
      </c>
    </row>
    <row r="6" spans="1:8" ht="13.5" customHeight="1" x14ac:dyDescent="0.25">
      <c r="A6" s="2"/>
      <c r="F6" s="12" t="s">
        <v>256</v>
      </c>
      <c r="G6" s="12"/>
      <c r="H6" s="12" t="s">
        <v>256</v>
      </c>
    </row>
    <row r="7" spans="1:8" x14ac:dyDescent="0.2">
      <c r="F7" s="12"/>
      <c r="G7" s="12"/>
      <c r="H7" s="12"/>
    </row>
    <row r="8" spans="1:8" x14ac:dyDescent="0.2">
      <c r="A8" s="1" t="s">
        <v>48</v>
      </c>
      <c r="F8" s="64">
        <f>'Page 1'!F9</f>
        <v>2020</v>
      </c>
      <c r="H8" s="64">
        <f>'Page 1'!H9</f>
        <v>2020</v>
      </c>
    </row>
    <row r="9" spans="1:8" x14ac:dyDescent="0.2">
      <c r="F9" s="12" t="s">
        <v>40</v>
      </c>
      <c r="H9" s="12" t="s">
        <v>40</v>
      </c>
    </row>
    <row r="10" spans="1:8" x14ac:dyDescent="0.2">
      <c r="A10" s="69" t="s">
        <v>52</v>
      </c>
      <c r="F10" s="5">
        <f>'Page 8'!R7</f>
        <v>3668700</v>
      </c>
      <c r="H10" s="5">
        <v>3668700</v>
      </c>
    </row>
    <row r="11" spans="1:8" x14ac:dyDescent="0.2">
      <c r="A11" s="69" t="s">
        <v>54</v>
      </c>
      <c r="F11" s="6">
        <f>'Page 8'!R8</f>
        <v>4000</v>
      </c>
      <c r="H11" s="6">
        <v>4000</v>
      </c>
    </row>
    <row r="12" spans="1:8" x14ac:dyDescent="0.2">
      <c r="F12" s="5">
        <f>SUM(F10:F11)</f>
        <v>3672700</v>
      </c>
      <c r="H12" s="5">
        <f>SUM(H10:H11)</f>
        <v>3672700</v>
      </c>
    </row>
    <row r="13" spans="1:8" x14ac:dyDescent="0.2">
      <c r="A13" t="s">
        <v>53</v>
      </c>
      <c r="F13" s="6">
        <f>'Page 8'!R11+'Page 8'!R12</f>
        <v>-36700</v>
      </c>
      <c r="H13" s="6">
        <f>-36700</f>
        <v>-36700</v>
      </c>
    </row>
    <row r="14" spans="1:8" x14ac:dyDescent="0.2">
      <c r="A14" t="s">
        <v>186</v>
      </c>
      <c r="F14" s="5">
        <f>SUM(F12:F13)</f>
        <v>3636000</v>
      </c>
      <c r="H14" s="5">
        <f>SUM(H12:H13)</f>
        <v>3636000</v>
      </c>
    </row>
    <row r="15" spans="1:8" x14ac:dyDescent="0.2">
      <c r="F15" s="5"/>
      <c r="H15" s="5"/>
    </row>
    <row r="16" spans="1:8" x14ac:dyDescent="0.2">
      <c r="A16" t="s">
        <v>187</v>
      </c>
      <c r="F16" s="5">
        <f>'Page 8'!R17</f>
        <v>47000</v>
      </c>
      <c r="H16" s="10">
        <v>47000</v>
      </c>
    </row>
    <row r="17" spans="1:8" x14ac:dyDescent="0.2">
      <c r="A17" s="69" t="s">
        <v>206</v>
      </c>
      <c r="B17" s="69"/>
      <c r="C17" s="69"/>
      <c r="D17" s="69"/>
      <c r="E17" s="69"/>
      <c r="F17" s="72">
        <f>'Page 8'!R31</f>
        <v>439819</v>
      </c>
      <c r="H17" s="10">
        <v>439819</v>
      </c>
    </row>
    <row r="18" spans="1:8" x14ac:dyDescent="0.2">
      <c r="A18" s="69"/>
      <c r="F18" s="5"/>
      <c r="H18" s="10"/>
    </row>
    <row r="19" spans="1:8" x14ac:dyDescent="0.2">
      <c r="A19" s="1" t="s">
        <v>132</v>
      </c>
      <c r="B19" s="1"/>
      <c r="C19" s="1"/>
      <c r="D19" s="1"/>
      <c r="F19" s="24">
        <f>SUM(F14:F18)</f>
        <v>4122819</v>
      </c>
      <c r="H19" s="24">
        <f>SUM(H14:H18)</f>
        <v>4122819</v>
      </c>
    </row>
    <row r="21" spans="1:8" x14ac:dyDescent="0.2">
      <c r="A21" s="1" t="s">
        <v>41</v>
      </c>
    </row>
    <row r="23" spans="1:8" x14ac:dyDescent="0.2">
      <c r="A23" s="69" t="s">
        <v>167</v>
      </c>
      <c r="B23" s="69"/>
      <c r="C23" s="69"/>
      <c r="D23" s="69"/>
      <c r="E23" s="69"/>
      <c r="F23" s="72">
        <f>'Page 7'!F55</f>
        <v>1122702.5</v>
      </c>
      <c r="H23" s="5">
        <v>1160203</v>
      </c>
    </row>
    <row r="24" spans="1:8" x14ac:dyDescent="0.2">
      <c r="A24" t="s">
        <v>60</v>
      </c>
      <c r="F24" s="6">
        <f>'Page 7'!G55</f>
        <v>2500</v>
      </c>
      <c r="H24" s="6">
        <v>2500</v>
      </c>
    </row>
    <row r="25" spans="1:8" x14ac:dyDescent="0.2">
      <c r="F25" s="72">
        <f>SUM(F23:F24)</f>
        <v>1125202.5</v>
      </c>
      <c r="H25" s="5">
        <f>SUM(H23:H24)</f>
        <v>1162703</v>
      </c>
    </row>
    <row r="26" spans="1:8" x14ac:dyDescent="0.2">
      <c r="A26" t="s">
        <v>57</v>
      </c>
      <c r="F26" s="5">
        <f>'Page 7'!I55</f>
        <v>396800</v>
      </c>
      <c r="H26" s="5">
        <v>396800</v>
      </c>
    </row>
    <row r="27" spans="1:8" x14ac:dyDescent="0.2">
      <c r="A27" t="s">
        <v>58</v>
      </c>
      <c r="F27" s="5">
        <f>'Page 7'!J55</f>
        <v>232200</v>
      </c>
      <c r="H27" s="5">
        <v>232200</v>
      </c>
    </row>
    <row r="28" spans="1:8" ht="15" x14ac:dyDescent="0.25">
      <c r="A28" s="135" t="s">
        <v>59</v>
      </c>
      <c r="B28" s="135"/>
      <c r="C28" s="135"/>
      <c r="D28" s="135"/>
      <c r="E28" s="135"/>
      <c r="F28" s="136">
        <f>'Page 7'!K55</f>
        <v>91200</v>
      </c>
      <c r="G28" s="135"/>
      <c r="H28" s="136">
        <v>728800</v>
      </c>
    </row>
    <row r="29" spans="1:8" x14ac:dyDescent="0.2">
      <c r="A29" t="s">
        <v>56</v>
      </c>
      <c r="F29" s="5">
        <f>'Page 7'!L55</f>
        <v>54540</v>
      </c>
      <c r="H29" s="5">
        <v>54540</v>
      </c>
    </row>
    <row r="30" spans="1:8" ht="15" x14ac:dyDescent="0.25">
      <c r="A30" s="135" t="s">
        <v>136</v>
      </c>
      <c r="B30" s="135"/>
      <c r="C30" s="135"/>
      <c r="D30" s="135"/>
      <c r="E30" s="135"/>
      <c r="F30" s="136">
        <f>'Page 5'!E24</f>
        <v>965000</v>
      </c>
      <c r="G30" s="135"/>
      <c r="H30" s="136">
        <v>926300</v>
      </c>
    </row>
    <row r="31" spans="1:8" x14ac:dyDescent="0.2">
      <c r="F31" s="7">
        <f>SUM(F25:F30)</f>
        <v>2864942.5</v>
      </c>
      <c r="H31" s="7">
        <f>SUM(H25:H30)</f>
        <v>3501343</v>
      </c>
    </row>
    <row r="32" spans="1:8" x14ac:dyDescent="0.2">
      <c r="F32" s="10"/>
      <c r="H32" s="10"/>
    </row>
    <row r="33" spans="1:8" x14ac:dyDescent="0.2">
      <c r="F33" s="10"/>
      <c r="H33" s="10"/>
    </row>
    <row r="34" spans="1:8" x14ac:dyDescent="0.2">
      <c r="A34" s="1" t="s">
        <v>137</v>
      </c>
      <c r="B34" s="1"/>
      <c r="C34" s="1"/>
      <c r="D34" s="1"/>
      <c r="F34" s="24">
        <f>F19-F31</f>
        <v>1257876.5</v>
      </c>
      <c r="H34" s="24">
        <f>H19-H31</f>
        <v>621476</v>
      </c>
    </row>
    <row r="35" spans="1:8" x14ac:dyDescent="0.2">
      <c r="E35" s="10"/>
    </row>
    <row r="36" spans="1:8" x14ac:dyDescent="0.2">
      <c r="E36" s="10"/>
      <c r="G36" s="10"/>
    </row>
    <row r="37" spans="1:8" ht="15.75" x14ac:dyDescent="0.25">
      <c r="A37" s="2" t="s">
        <v>156</v>
      </c>
      <c r="E37" s="10"/>
      <c r="G37" s="10"/>
    </row>
    <row r="38" spans="1:8" x14ac:dyDescent="0.2">
      <c r="E38" s="43"/>
      <c r="F38" s="12"/>
    </row>
    <row r="39" spans="1:8" x14ac:dyDescent="0.2">
      <c r="E39" s="43"/>
      <c r="F39" s="12"/>
      <c r="G39" s="12" t="s">
        <v>568</v>
      </c>
      <c r="H39" s="12" t="s">
        <v>570</v>
      </c>
    </row>
    <row r="40" spans="1:8" x14ac:dyDescent="0.2">
      <c r="E40" s="43"/>
      <c r="F40" s="12"/>
      <c r="G40" s="12" t="s">
        <v>256</v>
      </c>
      <c r="H40" s="12" t="s">
        <v>256</v>
      </c>
    </row>
    <row r="41" spans="1:8" x14ac:dyDescent="0.2">
      <c r="E41" s="43"/>
      <c r="F41" s="12"/>
      <c r="G41" s="12"/>
      <c r="H41" s="12"/>
    </row>
    <row r="42" spans="1:8" x14ac:dyDescent="0.2">
      <c r="E42" s="43"/>
      <c r="F42" s="12"/>
      <c r="G42" s="44" t="s">
        <v>466</v>
      </c>
      <c r="H42" s="45" t="s">
        <v>466</v>
      </c>
    </row>
    <row r="43" spans="1:8" x14ac:dyDescent="0.2">
      <c r="A43" s="1"/>
      <c r="E43" s="43" t="s">
        <v>139</v>
      </c>
      <c r="F43" s="12" t="s">
        <v>140</v>
      </c>
      <c r="G43" s="43" t="s">
        <v>141</v>
      </c>
      <c r="H43" s="12" t="s">
        <v>141</v>
      </c>
    </row>
    <row r="44" spans="1:8" x14ac:dyDescent="0.2">
      <c r="A44" s="13" t="s">
        <v>62</v>
      </c>
      <c r="E44" s="5">
        <f>'Page 8'!R19+'Page 8'!R20+'Page 8'!R21</f>
        <v>43350</v>
      </c>
      <c r="F44" s="5">
        <f>'Page 7'!N55</f>
        <v>93297.5</v>
      </c>
      <c r="G44" s="10">
        <f>E44-F44</f>
        <v>-49947.5</v>
      </c>
      <c r="H44" s="5">
        <f>-63998</f>
        <v>-63998</v>
      </c>
    </row>
    <row r="45" spans="1:8" x14ac:dyDescent="0.2">
      <c r="A45" s="13" t="s">
        <v>61</v>
      </c>
      <c r="E45" s="5">
        <f>'Page 8'!R22+'Page 8'!R23</f>
        <v>657500</v>
      </c>
      <c r="F45" s="10">
        <f>'Page 7'!O55</f>
        <v>678800</v>
      </c>
      <c r="G45" s="10">
        <f>E45-F45</f>
        <v>-21300</v>
      </c>
      <c r="H45" s="5">
        <f>-21300</f>
        <v>-21300</v>
      </c>
    </row>
    <row r="46" spans="1:8" x14ac:dyDescent="0.2">
      <c r="A46" s="69" t="s">
        <v>384</v>
      </c>
      <c r="E46" s="5">
        <f>'Page 8'!R24</f>
        <v>37500</v>
      </c>
      <c r="F46" s="10">
        <f>'Page 7'!R55</f>
        <v>37500</v>
      </c>
      <c r="G46" s="10">
        <f>E46-F46</f>
        <v>0</v>
      </c>
      <c r="H46" s="5">
        <v>0</v>
      </c>
    </row>
    <row r="47" spans="1:8" x14ac:dyDescent="0.2">
      <c r="A47" s="1" t="s">
        <v>3</v>
      </c>
      <c r="E47" s="22">
        <f>SUM(E44:E46)</f>
        <v>738350</v>
      </c>
      <c r="F47" s="22">
        <f>SUM(F44:F46)</f>
        <v>809597.5</v>
      </c>
      <c r="G47" s="22">
        <f>SUM(G44:G46)</f>
        <v>-71247.5</v>
      </c>
      <c r="H47" s="22">
        <f>SUM(H44:H46)</f>
        <v>-85298</v>
      </c>
    </row>
    <row r="48" spans="1:8" x14ac:dyDescent="0.2">
      <c r="A48" s="1"/>
      <c r="E48" s="5"/>
      <c r="H48" s="5"/>
    </row>
    <row r="49" spans="1:9" x14ac:dyDescent="0.2">
      <c r="A49" s="28" t="s">
        <v>154</v>
      </c>
      <c r="B49" s="28"/>
      <c r="C49" s="28"/>
      <c r="D49" s="28"/>
      <c r="E49" s="27">
        <f>F19</f>
        <v>4122819</v>
      </c>
      <c r="F49" s="27">
        <f>F31</f>
        <v>2864942.5</v>
      </c>
      <c r="G49" s="27">
        <f>E49-F49</f>
        <v>1257876.5</v>
      </c>
      <c r="H49" s="22">
        <f>H34</f>
        <v>621476</v>
      </c>
      <c r="I49" s="1"/>
    </row>
    <row r="50" spans="1:9" x14ac:dyDescent="0.2">
      <c r="A50" s="11"/>
      <c r="B50" s="11"/>
      <c r="C50" s="11"/>
      <c r="D50" s="11"/>
      <c r="E50" s="11"/>
      <c r="F50" s="11"/>
      <c r="G50" s="10"/>
      <c r="H50" s="5"/>
    </row>
    <row r="51" spans="1:9" ht="16.5" thickBot="1" x14ac:dyDescent="0.3">
      <c r="A51" s="57" t="s">
        <v>155</v>
      </c>
      <c r="B51" s="58"/>
      <c r="C51" s="58"/>
      <c r="D51" s="58"/>
      <c r="E51" s="59">
        <f>SUM(E47:E50)</f>
        <v>4861169</v>
      </c>
      <c r="F51" s="59">
        <f>SUM(F47:F50)</f>
        <v>3674540</v>
      </c>
      <c r="G51" s="59">
        <f>SUM(G47:G50)</f>
        <v>1186629</v>
      </c>
      <c r="H51" s="59">
        <f>SUM(H47:H50)</f>
        <v>536178</v>
      </c>
    </row>
    <row r="52" spans="1:9" ht="13.5" thickTop="1" x14ac:dyDescent="0.2">
      <c r="A52" s="11"/>
      <c r="B52" s="11"/>
      <c r="C52" s="11"/>
      <c r="D52" s="11"/>
      <c r="E52" s="11"/>
      <c r="F52" s="11"/>
      <c r="G52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22" workbookViewId="0">
      <selection activeCell="F50" sqref="F50"/>
    </sheetView>
  </sheetViews>
  <sheetFormatPr defaultRowHeight="12.75" x14ac:dyDescent="0.2"/>
  <cols>
    <col min="1" max="1" width="3.7109375" customWidth="1"/>
    <col min="2" max="2" width="9.140625" customWidth="1"/>
    <col min="5" max="5" width="10.5703125" customWidth="1"/>
    <col min="6" max="6" width="10.85546875" customWidth="1"/>
    <col min="7" max="12" width="9.140625" customWidth="1"/>
  </cols>
  <sheetData>
    <row r="1" spans="1:12" ht="15.75" x14ac:dyDescent="0.25">
      <c r="A1" s="2" t="s">
        <v>27</v>
      </c>
      <c r="L1" s="1"/>
    </row>
    <row r="3" spans="1:12" x14ac:dyDescent="0.2">
      <c r="A3" s="1" t="s">
        <v>399</v>
      </c>
      <c r="B3" s="1"/>
      <c r="C3" s="1"/>
      <c r="D3" s="1"/>
      <c r="E3" s="15" t="s">
        <v>466</v>
      </c>
    </row>
    <row r="5" spans="1:12" x14ac:dyDescent="0.2">
      <c r="A5" s="1" t="s">
        <v>142</v>
      </c>
    </row>
    <row r="7" spans="1:12" x14ac:dyDescent="0.2">
      <c r="A7" s="1" t="s">
        <v>48</v>
      </c>
    </row>
    <row r="9" spans="1:12" x14ac:dyDescent="0.2">
      <c r="A9" s="69">
        <v>1</v>
      </c>
      <c r="B9" s="69" t="s">
        <v>509</v>
      </c>
      <c r="L9" s="1"/>
    </row>
    <row r="10" spans="1:12" x14ac:dyDescent="0.2">
      <c r="A10" s="69"/>
      <c r="B10" s="69" t="s">
        <v>493</v>
      </c>
    </row>
    <row r="11" spans="1:12" x14ac:dyDescent="0.2">
      <c r="A11" s="69">
        <v>2</v>
      </c>
      <c r="B11" s="69" t="s">
        <v>234</v>
      </c>
    </row>
    <row r="12" spans="1:12" x14ac:dyDescent="0.2">
      <c r="A12" s="69">
        <v>3</v>
      </c>
      <c r="B12" s="69" t="s">
        <v>508</v>
      </c>
    </row>
    <row r="13" spans="1:12" x14ac:dyDescent="0.2">
      <c r="A13" s="69">
        <v>4</v>
      </c>
      <c r="B13" s="69" t="s">
        <v>510</v>
      </c>
      <c r="K13" s="69"/>
    </row>
    <row r="14" spans="1:12" x14ac:dyDescent="0.2">
      <c r="A14" s="69"/>
    </row>
    <row r="15" spans="1:12" x14ac:dyDescent="0.2">
      <c r="A15" s="1" t="s">
        <v>143</v>
      </c>
      <c r="B15" s="1"/>
      <c r="C15" s="1"/>
      <c r="D15" s="1"/>
    </row>
    <row r="16" spans="1:12" x14ac:dyDescent="0.2">
      <c r="A16" s="69"/>
    </row>
    <row r="17" spans="1:12" x14ac:dyDescent="0.2">
      <c r="A17" s="69">
        <v>1</v>
      </c>
      <c r="B17" s="69" t="s">
        <v>511</v>
      </c>
    </row>
    <row r="18" spans="1:12" x14ac:dyDescent="0.2">
      <c r="A18" s="69">
        <v>2</v>
      </c>
      <c r="B18" s="69" t="s">
        <v>494</v>
      </c>
    </row>
    <row r="19" spans="1:12" x14ac:dyDescent="0.2">
      <c r="A19" s="69"/>
      <c r="B19" s="69" t="s">
        <v>536</v>
      </c>
    </row>
    <row r="20" spans="1:12" x14ac:dyDescent="0.2">
      <c r="A20" s="69">
        <v>3</v>
      </c>
      <c r="B20" s="69" t="s">
        <v>460</v>
      </c>
    </row>
    <row r="21" spans="1:12" x14ac:dyDescent="0.2">
      <c r="A21" s="69"/>
      <c r="B21" s="69" t="s">
        <v>537</v>
      </c>
    </row>
    <row r="22" spans="1:12" x14ac:dyDescent="0.2">
      <c r="A22" s="69"/>
      <c r="B22" s="69" t="s">
        <v>538</v>
      </c>
    </row>
    <row r="23" spans="1:12" x14ac:dyDescent="0.2">
      <c r="A23" s="69"/>
      <c r="B23" s="69"/>
    </row>
    <row r="24" spans="1:12" x14ac:dyDescent="0.2">
      <c r="A24" s="69"/>
      <c r="B24" s="69" t="s">
        <v>539</v>
      </c>
    </row>
    <row r="25" spans="1:12" x14ac:dyDescent="0.2">
      <c r="A25" s="69"/>
      <c r="B25" s="69" t="s">
        <v>540</v>
      </c>
    </row>
    <row r="26" spans="1:12" x14ac:dyDescent="0.2">
      <c r="A26" s="69"/>
      <c r="B26" s="69" t="s">
        <v>461</v>
      </c>
    </row>
    <row r="27" spans="1:12" x14ac:dyDescent="0.2">
      <c r="A27" s="69"/>
      <c r="B27" s="69"/>
    </row>
    <row r="28" spans="1:12" x14ac:dyDescent="0.2">
      <c r="A28" s="69"/>
      <c r="B28" s="69" t="s">
        <v>541</v>
      </c>
      <c r="C28" s="100"/>
      <c r="D28" s="100"/>
      <c r="E28" s="100"/>
      <c r="F28" s="100"/>
      <c r="G28" s="100"/>
    </row>
    <row r="29" spans="1:12" x14ac:dyDescent="0.2">
      <c r="A29" s="69"/>
      <c r="B29" s="69"/>
    </row>
    <row r="30" spans="1:12" x14ac:dyDescent="0.2">
      <c r="A30" s="69">
        <v>4</v>
      </c>
      <c r="B30" s="69" t="s">
        <v>427</v>
      </c>
      <c r="L30" s="69"/>
    </row>
    <row r="31" spans="1:12" x14ac:dyDescent="0.2">
      <c r="A31" s="69"/>
      <c r="B31" s="69"/>
    </row>
    <row r="32" spans="1:12" x14ac:dyDescent="0.2">
      <c r="A32" s="69"/>
    </row>
    <row r="33" spans="1:10" x14ac:dyDescent="0.2">
      <c r="A33" s="1" t="s">
        <v>144</v>
      </c>
      <c r="B33" s="1"/>
      <c r="C33" s="1"/>
      <c r="D33" s="1"/>
    </row>
    <row r="34" spans="1:10" x14ac:dyDescent="0.2">
      <c r="A34" s="69"/>
    </row>
    <row r="35" spans="1:10" x14ac:dyDescent="0.2">
      <c r="A35" s="69"/>
      <c r="B35" s="1" t="s">
        <v>83</v>
      </c>
      <c r="E35" s="23" t="s">
        <v>40</v>
      </c>
      <c r="G35" s="1" t="s">
        <v>85</v>
      </c>
      <c r="I35" s="90" t="s">
        <v>40</v>
      </c>
    </row>
    <row r="36" spans="1:10" x14ac:dyDescent="0.2">
      <c r="A36" s="69"/>
      <c r="B36" t="s">
        <v>84</v>
      </c>
      <c r="E36" s="5">
        <f>186500+68000</f>
        <v>254500</v>
      </c>
      <c r="G36" t="s">
        <v>165</v>
      </c>
      <c r="I36" s="5">
        <v>115000</v>
      </c>
    </row>
    <row r="37" spans="1:10" x14ac:dyDescent="0.2">
      <c r="A37" s="69"/>
      <c r="B37" t="s">
        <v>53</v>
      </c>
      <c r="E37" s="5">
        <v>123600</v>
      </c>
      <c r="G37" t="s">
        <v>86</v>
      </c>
      <c r="I37" s="5">
        <f>63900+6000</f>
        <v>69900</v>
      </c>
    </row>
    <row r="38" spans="1:10" x14ac:dyDescent="0.2">
      <c r="A38" s="69"/>
      <c r="B38" t="s">
        <v>178</v>
      </c>
      <c r="E38" s="5">
        <v>3000</v>
      </c>
      <c r="G38" t="s">
        <v>152</v>
      </c>
      <c r="I38" s="5">
        <v>31000</v>
      </c>
    </row>
    <row r="39" spans="1:10" x14ac:dyDescent="0.2">
      <c r="A39" s="69"/>
      <c r="B39" t="s">
        <v>164</v>
      </c>
      <c r="E39" s="5">
        <v>8000</v>
      </c>
      <c r="G39" t="s">
        <v>153</v>
      </c>
      <c r="I39" s="5">
        <v>6300</v>
      </c>
    </row>
    <row r="40" spans="1:10" x14ac:dyDescent="0.2">
      <c r="A40" s="69"/>
      <c r="B40" t="s">
        <v>93</v>
      </c>
      <c r="E40" s="5">
        <v>5500</v>
      </c>
      <c r="G40" s="69" t="s">
        <v>495</v>
      </c>
      <c r="I40" s="5">
        <v>10000</v>
      </c>
    </row>
    <row r="41" spans="1:10" ht="13.5" thickBot="1" x14ac:dyDescent="0.25">
      <c r="A41" s="69"/>
      <c r="B41" s="69" t="s">
        <v>426</v>
      </c>
      <c r="E41" s="5">
        <v>1000</v>
      </c>
      <c r="I41" s="9">
        <f>SUM(I36:I40)</f>
        <v>232200</v>
      </c>
    </row>
    <row r="42" spans="1:10" ht="13.5" thickTop="1" x14ac:dyDescent="0.2">
      <c r="A42" s="69"/>
      <c r="B42" t="s">
        <v>239</v>
      </c>
      <c r="E42" s="5">
        <v>1200</v>
      </c>
    </row>
    <row r="43" spans="1:10" ht="13.5" thickBot="1" x14ac:dyDescent="0.25">
      <c r="A43" s="69"/>
      <c r="E43" s="9">
        <f>SUM(E36:E42)</f>
        <v>396800</v>
      </c>
      <c r="G43" s="10"/>
      <c r="I43" s="10"/>
    </row>
    <row r="44" spans="1:10" ht="13.5" thickTop="1" x14ac:dyDescent="0.2">
      <c r="A44" s="69"/>
      <c r="E44" s="10"/>
      <c r="G44" s="10"/>
      <c r="I44" s="10"/>
    </row>
    <row r="45" spans="1:10" x14ac:dyDescent="0.2">
      <c r="A45" s="69"/>
      <c r="G45" s="10"/>
    </row>
    <row r="46" spans="1:10" x14ac:dyDescent="0.2">
      <c r="A46" s="1"/>
      <c r="B46" s="1" t="s">
        <v>59</v>
      </c>
      <c r="E46" s="43" t="s">
        <v>50</v>
      </c>
      <c r="F46" s="12" t="s">
        <v>49</v>
      </c>
      <c r="G46" s="12" t="s">
        <v>3</v>
      </c>
    </row>
    <row r="47" spans="1:10" x14ac:dyDescent="0.2">
      <c r="A47" s="1"/>
      <c r="E47" s="90" t="s">
        <v>40</v>
      </c>
      <c r="F47" s="90" t="s">
        <v>40</v>
      </c>
      <c r="G47" s="90" t="s">
        <v>40</v>
      </c>
    </row>
    <row r="48" spans="1:10" ht="15" x14ac:dyDescent="0.25">
      <c r="A48" s="1"/>
      <c r="B48" s="135" t="s">
        <v>514</v>
      </c>
      <c r="C48" s="135"/>
      <c r="D48" s="135"/>
      <c r="E48" s="136">
        <v>0</v>
      </c>
      <c r="F48" s="136">
        <v>500000</v>
      </c>
      <c r="G48" s="136">
        <f t="shared" ref="G48:G53" si="0">SUM(E48:F48)</f>
        <v>500000</v>
      </c>
      <c r="J48" s="69"/>
    </row>
    <row r="49" spans="2:10" x14ac:dyDescent="0.2">
      <c r="B49" s="69" t="s">
        <v>183</v>
      </c>
      <c r="E49" s="5">
        <v>47000</v>
      </c>
      <c r="F49" s="72">
        <v>0</v>
      </c>
      <c r="G49" s="5">
        <f t="shared" si="0"/>
        <v>47000</v>
      </c>
      <c r="J49" s="69"/>
    </row>
    <row r="50" spans="2:10" ht="15" x14ac:dyDescent="0.25">
      <c r="B50" s="135" t="s">
        <v>512</v>
      </c>
      <c r="C50" s="135"/>
      <c r="D50" s="135"/>
      <c r="E50" s="136">
        <v>0</v>
      </c>
      <c r="F50" s="136">
        <v>137600</v>
      </c>
      <c r="G50" s="136">
        <f t="shared" si="0"/>
        <v>137600</v>
      </c>
      <c r="J50" s="69"/>
    </row>
    <row r="51" spans="2:10" x14ac:dyDescent="0.2">
      <c r="B51" s="69" t="s">
        <v>513</v>
      </c>
      <c r="E51" s="5">
        <v>41000</v>
      </c>
      <c r="F51" s="72">
        <v>0</v>
      </c>
      <c r="G51" s="5">
        <f t="shared" si="0"/>
        <v>41000</v>
      </c>
      <c r="J51" s="69"/>
    </row>
    <row r="52" spans="2:10" x14ac:dyDescent="0.2">
      <c r="B52" t="s">
        <v>166</v>
      </c>
      <c r="E52" s="5">
        <v>0</v>
      </c>
      <c r="F52" s="5">
        <v>10000</v>
      </c>
      <c r="G52" s="5">
        <f t="shared" si="0"/>
        <v>10000</v>
      </c>
    </row>
    <row r="53" spans="2:10" x14ac:dyDescent="0.2">
      <c r="B53" t="s">
        <v>484</v>
      </c>
      <c r="E53" s="5">
        <v>3200</v>
      </c>
      <c r="F53" s="5">
        <v>0</v>
      </c>
      <c r="G53" s="5">
        <f t="shared" si="0"/>
        <v>3200</v>
      </c>
    </row>
    <row r="54" spans="2:10" ht="13.5" thickBot="1" x14ac:dyDescent="0.25">
      <c r="E54" s="9">
        <f>SUM(E48:E53)</f>
        <v>91200</v>
      </c>
      <c r="F54" s="9">
        <f>SUM(F48:F53)</f>
        <v>647600</v>
      </c>
      <c r="G54" s="9">
        <f>SUM(G48:G53)</f>
        <v>738800</v>
      </c>
    </row>
    <row r="55" spans="2:10" ht="13.5" thickTop="1" x14ac:dyDescent="0.2"/>
    <row r="57" spans="2:10" x14ac:dyDescent="0.2">
      <c r="G57" s="10"/>
    </row>
    <row r="58" spans="2:10" x14ac:dyDescent="0.2">
      <c r="G58" s="10"/>
    </row>
    <row r="59" spans="2:10" x14ac:dyDescent="0.2">
      <c r="G59" s="10"/>
    </row>
    <row r="60" spans="2:10" x14ac:dyDescent="0.2">
      <c r="G60" s="10"/>
    </row>
    <row r="61" spans="2:10" x14ac:dyDescent="0.2">
      <c r="G61" s="10"/>
    </row>
    <row r="62" spans="2:10" x14ac:dyDescent="0.2">
      <c r="G62" s="10"/>
    </row>
    <row r="63" spans="2:10" x14ac:dyDescent="0.2">
      <c r="G63" s="10"/>
    </row>
    <row r="64" spans="2:10" x14ac:dyDescent="0.2">
      <c r="G64" s="10"/>
    </row>
    <row r="65" spans="1:2" x14ac:dyDescent="0.2">
      <c r="A65" s="12"/>
      <c r="B65" s="1"/>
    </row>
    <row r="66" spans="1:2" x14ac:dyDescent="0.2">
      <c r="A66" s="23"/>
    </row>
    <row r="67" spans="1:2" x14ac:dyDescent="0.2">
      <c r="A67" s="23"/>
    </row>
    <row r="68" spans="1:2" x14ac:dyDescent="0.2">
      <c r="A68" s="23"/>
    </row>
    <row r="69" spans="1:2" x14ac:dyDescent="0.2">
      <c r="A69" s="23"/>
    </row>
    <row r="70" spans="1:2" x14ac:dyDescent="0.2">
      <c r="A70" s="23"/>
    </row>
    <row r="71" spans="1:2" x14ac:dyDescent="0.2">
      <c r="A71" s="23"/>
    </row>
    <row r="72" spans="1:2" x14ac:dyDescent="0.2">
      <c r="A72" s="23"/>
    </row>
    <row r="73" spans="1:2" x14ac:dyDescent="0.2">
      <c r="A73" s="23"/>
    </row>
    <row r="74" spans="1:2" x14ac:dyDescent="0.2">
      <c r="A74" s="23"/>
    </row>
    <row r="75" spans="1:2" x14ac:dyDescent="0.2">
      <c r="A75" s="23"/>
    </row>
    <row r="76" spans="1:2" x14ac:dyDescent="0.2">
      <c r="A76" s="23"/>
    </row>
    <row r="77" spans="1:2" x14ac:dyDescent="0.2">
      <c r="A77" s="23"/>
    </row>
    <row r="78" spans="1:2" x14ac:dyDescent="0.2">
      <c r="A78" s="23"/>
    </row>
    <row r="79" spans="1:2" x14ac:dyDescent="0.2">
      <c r="A79" s="12"/>
      <c r="B79" s="1"/>
    </row>
    <row r="80" spans="1:2" x14ac:dyDescent="0.2">
      <c r="A80" s="23"/>
    </row>
    <row r="81" spans="1:2" x14ac:dyDescent="0.2">
      <c r="A81" s="23"/>
    </row>
    <row r="82" spans="1:2" x14ac:dyDescent="0.2">
      <c r="A82" s="23"/>
    </row>
    <row r="83" spans="1:2" x14ac:dyDescent="0.2">
      <c r="A83" s="23"/>
    </row>
    <row r="84" spans="1:2" x14ac:dyDescent="0.2">
      <c r="A84" s="23"/>
    </row>
    <row r="85" spans="1:2" x14ac:dyDescent="0.2">
      <c r="A85" s="23"/>
    </row>
    <row r="86" spans="1:2" x14ac:dyDescent="0.2">
      <c r="A86" s="23"/>
    </row>
    <row r="87" spans="1:2" x14ac:dyDescent="0.2">
      <c r="A87" s="23"/>
    </row>
    <row r="88" spans="1:2" x14ac:dyDescent="0.2">
      <c r="A88" s="12"/>
      <c r="B88" s="1"/>
    </row>
    <row r="89" spans="1:2" x14ac:dyDescent="0.2">
      <c r="A89" s="23"/>
    </row>
    <row r="90" spans="1:2" x14ac:dyDescent="0.2">
      <c r="A90" s="23"/>
    </row>
    <row r="91" spans="1:2" x14ac:dyDescent="0.2">
      <c r="A91" s="23"/>
    </row>
    <row r="92" spans="1:2" x14ac:dyDescent="0.2">
      <c r="A92" s="23"/>
    </row>
    <row r="93" spans="1:2" x14ac:dyDescent="0.2">
      <c r="A93" s="23"/>
    </row>
    <row r="94" spans="1:2" x14ac:dyDescent="0.2">
      <c r="A94" s="23"/>
    </row>
    <row r="95" spans="1:2" x14ac:dyDescent="0.2">
      <c r="A95" s="23"/>
    </row>
    <row r="96" spans="1:2" x14ac:dyDescent="0.2">
      <c r="A96" s="23"/>
    </row>
    <row r="97" spans="1:2" x14ac:dyDescent="0.2">
      <c r="A97" s="23"/>
    </row>
    <row r="98" spans="1:2" x14ac:dyDescent="0.2">
      <c r="A98" s="23"/>
    </row>
    <row r="99" spans="1:2" x14ac:dyDescent="0.2">
      <c r="A99" s="23"/>
    </row>
    <row r="100" spans="1:2" x14ac:dyDescent="0.2">
      <c r="A100" s="23"/>
    </row>
    <row r="101" spans="1:2" x14ac:dyDescent="0.2">
      <c r="A101" s="12"/>
      <c r="B101" s="1"/>
    </row>
    <row r="103" spans="1:2" x14ac:dyDescent="0.2">
      <c r="B103" s="1"/>
    </row>
    <row r="105" spans="1:2" x14ac:dyDescent="0.2">
      <c r="A105" s="26"/>
    </row>
    <row r="106" spans="1:2" x14ac:dyDescent="0.2">
      <c r="A106" s="12"/>
    </row>
    <row r="107" spans="1:2" x14ac:dyDescent="0.2">
      <c r="A107" s="26"/>
    </row>
    <row r="109" spans="1:2" x14ac:dyDescent="0.2">
      <c r="A109" s="26"/>
    </row>
    <row r="111" spans="1:2" x14ac:dyDescent="0.2">
      <c r="A111" s="26"/>
    </row>
    <row r="112" spans="1:2" x14ac:dyDescent="0.2">
      <c r="A112" s="42"/>
    </row>
    <row r="113" spans="1:2" x14ac:dyDescent="0.2">
      <c r="A113" s="26"/>
    </row>
    <row r="115" spans="1:2" x14ac:dyDescent="0.2">
      <c r="A115" s="26"/>
    </row>
    <row r="120" spans="1:2" x14ac:dyDescent="0.2">
      <c r="B120" s="1"/>
    </row>
    <row r="122" spans="1:2" x14ac:dyDescent="0.2">
      <c r="A122" s="26"/>
    </row>
    <row r="123" spans="1:2" x14ac:dyDescent="0.2">
      <c r="A123" s="26"/>
    </row>
    <row r="124" spans="1:2" x14ac:dyDescent="0.2">
      <c r="A124" s="26"/>
    </row>
    <row r="125" spans="1:2" x14ac:dyDescent="0.2">
      <c r="A125" s="26"/>
    </row>
    <row r="126" spans="1:2" x14ac:dyDescent="0.2">
      <c r="A126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&amp;CPage 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opLeftCell="A19" workbookViewId="0">
      <selection activeCell="C53" sqref="C53"/>
    </sheetView>
  </sheetViews>
  <sheetFormatPr defaultRowHeight="12.75" x14ac:dyDescent="0.2"/>
  <cols>
    <col min="1" max="1" width="3.42578125" customWidth="1"/>
    <col min="8" max="8" width="10.5703125" customWidth="1"/>
    <col min="9" max="9" width="9.42578125" customWidth="1"/>
    <col min="10" max="10" width="11.7109375" customWidth="1"/>
  </cols>
  <sheetData>
    <row r="1" spans="1:7" ht="15.75" x14ac:dyDescent="0.25">
      <c r="A1" s="47" t="s">
        <v>27</v>
      </c>
      <c r="B1" s="28"/>
      <c r="C1" s="11"/>
      <c r="D1" s="11"/>
      <c r="E1" s="11"/>
      <c r="F1" s="11"/>
      <c r="G1" s="11"/>
    </row>
    <row r="2" spans="1:7" x14ac:dyDescent="0.2">
      <c r="A2" s="11"/>
      <c r="B2" s="11"/>
      <c r="C2" s="11"/>
      <c r="D2" s="11"/>
      <c r="E2" s="11"/>
      <c r="F2" s="11"/>
      <c r="G2" s="10"/>
    </row>
    <row r="3" spans="1:7" x14ac:dyDescent="0.2">
      <c r="A3" s="28" t="str">
        <f>'Page 2a'!A3</f>
        <v>BUDGET ASSUMPTIONS</v>
      </c>
      <c r="B3" s="11"/>
      <c r="C3" s="11"/>
      <c r="D3" s="11"/>
      <c r="E3" s="28" t="str">
        <f>'Page 2a'!E3</f>
        <v>2019/20</v>
      </c>
      <c r="F3" s="11"/>
      <c r="G3" s="10"/>
    </row>
    <row r="4" spans="1:7" x14ac:dyDescent="0.2">
      <c r="A4" s="11"/>
      <c r="B4" s="11"/>
      <c r="C4" s="11"/>
      <c r="D4" s="11"/>
      <c r="E4" s="11"/>
      <c r="F4" s="11"/>
      <c r="G4" s="10"/>
    </row>
    <row r="5" spans="1:7" x14ac:dyDescent="0.2">
      <c r="A5" s="28" t="s">
        <v>145</v>
      </c>
      <c r="B5" s="11"/>
      <c r="C5" s="11"/>
      <c r="D5" s="11"/>
      <c r="E5" s="11"/>
      <c r="F5" s="11"/>
      <c r="G5" s="10"/>
    </row>
    <row r="6" spans="1:7" x14ac:dyDescent="0.2">
      <c r="A6" s="11"/>
      <c r="B6" s="11"/>
      <c r="C6" s="11"/>
      <c r="D6" s="11"/>
      <c r="E6" s="11"/>
      <c r="F6" s="11"/>
      <c r="G6" s="10"/>
    </row>
    <row r="7" spans="1:7" x14ac:dyDescent="0.2">
      <c r="A7" s="28" t="s">
        <v>146</v>
      </c>
      <c r="B7" s="11"/>
      <c r="C7" s="11"/>
      <c r="D7" s="11"/>
      <c r="E7" s="11"/>
      <c r="F7" s="11"/>
      <c r="G7" s="10"/>
    </row>
    <row r="8" spans="1:7" x14ac:dyDescent="0.2">
      <c r="A8" s="11"/>
      <c r="B8" s="11"/>
      <c r="C8" s="11"/>
      <c r="D8" s="11"/>
      <c r="E8" s="11"/>
      <c r="F8" s="11"/>
      <c r="G8" s="10"/>
    </row>
    <row r="9" spans="1:7" x14ac:dyDescent="0.2">
      <c r="A9" s="11">
        <v>1</v>
      </c>
      <c r="B9" s="69" t="s">
        <v>542</v>
      </c>
      <c r="C9" s="11"/>
      <c r="D9" s="11"/>
      <c r="E9" s="11"/>
      <c r="F9" s="11"/>
      <c r="G9" s="10"/>
    </row>
    <row r="10" spans="1:7" x14ac:dyDescent="0.2">
      <c r="A10" s="11"/>
      <c r="B10" s="13" t="s">
        <v>168</v>
      </c>
      <c r="C10" s="11"/>
      <c r="D10" s="11"/>
      <c r="E10" s="11"/>
      <c r="F10" s="11"/>
      <c r="G10" s="10"/>
    </row>
    <row r="11" spans="1:7" x14ac:dyDescent="0.2">
      <c r="A11" s="11">
        <v>2</v>
      </c>
      <c r="B11" s="69" t="s">
        <v>496</v>
      </c>
      <c r="C11" s="11"/>
      <c r="D11" s="11"/>
      <c r="E11" s="11"/>
      <c r="F11" s="11"/>
      <c r="G11" s="10"/>
    </row>
    <row r="12" spans="1:7" x14ac:dyDescent="0.2">
      <c r="A12" s="11">
        <v>3</v>
      </c>
      <c r="B12" s="69" t="s">
        <v>436</v>
      </c>
      <c r="C12" s="11"/>
      <c r="D12" s="11"/>
      <c r="E12" s="11"/>
      <c r="F12" s="11"/>
      <c r="G12" s="10"/>
    </row>
    <row r="13" spans="1:7" x14ac:dyDescent="0.2">
      <c r="A13" s="48">
        <v>4</v>
      </c>
      <c r="B13" s="69" t="s">
        <v>544</v>
      </c>
      <c r="C13" s="11"/>
      <c r="D13" s="11"/>
      <c r="E13" s="11"/>
      <c r="F13" s="11"/>
      <c r="G13" s="10"/>
    </row>
    <row r="14" spans="1:7" x14ac:dyDescent="0.2">
      <c r="A14" s="11"/>
      <c r="B14" s="69" t="s">
        <v>497</v>
      </c>
      <c r="C14" s="11"/>
      <c r="D14" s="11"/>
      <c r="E14" s="11"/>
      <c r="F14" s="11"/>
      <c r="G14" s="10"/>
    </row>
    <row r="15" spans="1:7" x14ac:dyDescent="0.2">
      <c r="A15" s="49">
        <v>5</v>
      </c>
      <c r="B15" s="69" t="s">
        <v>462</v>
      </c>
      <c r="C15" s="11"/>
      <c r="D15" s="11"/>
      <c r="E15" s="11"/>
      <c r="F15" s="11"/>
      <c r="G15" s="10"/>
    </row>
    <row r="16" spans="1:7" x14ac:dyDescent="0.2">
      <c r="A16" s="49">
        <v>6</v>
      </c>
      <c r="B16" s="69" t="s">
        <v>498</v>
      </c>
      <c r="C16" s="11"/>
      <c r="D16" s="11"/>
      <c r="E16" s="11"/>
      <c r="F16" s="11"/>
      <c r="G16" s="10"/>
    </row>
    <row r="17" spans="1:7" x14ac:dyDescent="0.2">
      <c r="A17" s="48">
        <v>7</v>
      </c>
      <c r="B17" s="69" t="s">
        <v>177</v>
      </c>
      <c r="C17" s="11"/>
      <c r="D17" s="11"/>
      <c r="E17" s="11"/>
      <c r="F17" s="11"/>
      <c r="G17" s="10"/>
    </row>
    <row r="18" spans="1:7" x14ac:dyDescent="0.2">
      <c r="A18" s="11"/>
      <c r="B18" s="69" t="s">
        <v>240</v>
      </c>
      <c r="C18" s="11"/>
      <c r="D18" s="11"/>
      <c r="E18" s="11"/>
      <c r="F18" s="11"/>
      <c r="G18" s="10"/>
    </row>
    <row r="19" spans="1:7" x14ac:dyDescent="0.2">
      <c r="A19" s="11"/>
      <c r="B19" s="69" t="s">
        <v>241</v>
      </c>
      <c r="C19" s="11"/>
      <c r="D19" s="11"/>
      <c r="E19" s="11"/>
      <c r="F19" s="11"/>
      <c r="G19" s="10"/>
    </row>
    <row r="20" spans="1:7" x14ac:dyDescent="0.2">
      <c r="A20" s="48">
        <v>8</v>
      </c>
      <c r="B20" s="69" t="s">
        <v>499</v>
      </c>
      <c r="C20" s="11"/>
      <c r="D20" s="11"/>
      <c r="E20" s="11"/>
      <c r="F20" s="11"/>
      <c r="G20" s="10"/>
    </row>
    <row r="21" spans="1:7" x14ac:dyDescent="0.2">
      <c r="A21" s="48"/>
      <c r="B21" s="69" t="s">
        <v>500</v>
      </c>
      <c r="C21" s="11"/>
      <c r="D21" s="11"/>
      <c r="E21" s="11"/>
      <c r="F21" s="11"/>
      <c r="G21" s="10"/>
    </row>
    <row r="22" spans="1:7" x14ac:dyDescent="0.2">
      <c r="A22" s="48">
        <v>9</v>
      </c>
      <c r="B22" s="69" t="s">
        <v>543</v>
      </c>
      <c r="C22" s="11"/>
      <c r="D22" s="11"/>
      <c r="E22" s="11"/>
      <c r="F22" s="11"/>
      <c r="G22" s="10"/>
    </row>
    <row r="23" spans="1:7" x14ac:dyDescent="0.2">
      <c r="A23" s="48">
        <v>10</v>
      </c>
      <c r="B23" s="13" t="s">
        <v>169</v>
      </c>
      <c r="C23" s="11"/>
      <c r="D23" s="11"/>
      <c r="E23" s="11"/>
      <c r="F23" s="11"/>
      <c r="G23" s="10"/>
    </row>
    <row r="24" spans="1:7" x14ac:dyDescent="0.2">
      <c r="A24" s="11"/>
      <c r="B24" s="13" t="s">
        <v>170</v>
      </c>
      <c r="C24" s="11"/>
      <c r="D24" s="11"/>
      <c r="E24" s="11"/>
      <c r="F24" s="11"/>
      <c r="G24" s="10"/>
    </row>
    <row r="25" spans="1:7" x14ac:dyDescent="0.2">
      <c r="A25">
        <v>11</v>
      </c>
      <c r="B25" s="69" t="s">
        <v>463</v>
      </c>
      <c r="C25" s="11"/>
      <c r="D25" s="11"/>
      <c r="E25" s="11"/>
      <c r="F25" s="11"/>
      <c r="G25" s="10"/>
    </row>
    <row r="26" spans="1:7" x14ac:dyDescent="0.2">
      <c r="A26" s="48"/>
      <c r="B26" s="69" t="s">
        <v>515</v>
      </c>
    </row>
    <row r="27" spans="1:7" x14ac:dyDescent="0.2">
      <c r="A27" s="48"/>
    </row>
    <row r="28" spans="1:7" x14ac:dyDescent="0.2">
      <c r="A28" s="46" t="s">
        <v>147</v>
      </c>
    </row>
    <row r="29" spans="1:7" x14ac:dyDescent="0.2">
      <c r="A29" s="48"/>
    </row>
    <row r="30" spans="1:7" x14ac:dyDescent="0.2">
      <c r="A30" s="48">
        <v>1</v>
      </c>
      <c r="B30" s="69" t="s">
        <v>572</v>
      </c>
    </row>
    <row r="31" spans="1:7" x14ac:dyDescent="0.2">
      <c r="A31" s="48"/>
      <c r="B31" s="69" t="s">
        <v>516</v>
      </c>
    </row>
    <row r="32" spans="1:7" x14ac:dyDescent="0.2">
      <c r="A32" s="48"/>
      <c r="B32" s="69" t="s">
        <v>583</v>
      </c>
    </row>
    <row r="33" spans="1:9" x14ac:dyDescent="0.2">
      <c r="A33" s="48"/>
      <c r="B33" s="69" t="s">
        <v>582</v>
      </c>
    </row>
    <row r="34" spans="1:9" x14ac:dyDescent="0.2">
      <c r="A34" s="48"/>
      <c r="B34" s="69"/>
    </row>
    <row r="35" spans="1:9" x14ac:dyDescent="0.2">
      <c r="A35" s="48">
        <v>2</v>
      </c>
      <c r="B35" s="77" t="s">
        <v>191</v>
      </c>
      <c r="C35" s="78"/>
      <c r="D35" s="78"/>
      <c r="E35" s="78"/>
      <c r="F35" s="78"/>
      <c r="G35" s="78"/>
      <c r="H35" s="78"/>
    </row>
    <row r="36" spans="1:9" x14ac:dyDescent="0.2">
      <c r="A36" s="48"/>
      <c r="B36" s="77"/>
      <c r="C36" s="78"/>
      <c r="D36" s="78"/>
      <c r="E36" s="78"/>
      <c r="F36" s="134" t="s">
        <v>200</v>
      </c>
      <c r="G36" s="134" t="s">
        <v>202</v>
      </c>
      <c r="H36" s="134"/>
      <c r="I36" s="23" t="s">
        <v>391</v>
      </c>
    </row>
    <row r="37" spans="1:9" x14ac:dyDescent="0.2">
      <c r="A37" s="48"/>
      <c r="B37" s="77"/>
      <c r="C37" s="78"/>
      <c r="D37" s="78"/>
      <c r="E37" s="78"/>
      <c r="F37" s="134" t="s">
        <v>201</v>
      </c>
      <c r="G37" s="134" t="s">
        <v>201</v>
      </c>
      <c r="H37" s="134" t="s">
        <v>203</v>
      </c>
      <c r="I37" s="134" t="s">
        <v>392</v>
      </c>
    </row>
    <row r="38" spans="1:9" x14ac:dyDescent="0.2">
      <c r="A38" s="48"/>
      <c r="B38" s="77"/>
      <c r="C38" s="78"/>
      <c r="D38" s="78"/>
      <c r="E38" s="78"/>
      <c r="F38" s="97" t="s">
        <v>40</v>
      </c>
      <c r="G38" s="97" t="s">
        <v>40</v>
      </c>
      <c r="H38" s="97" t="s">
        <v>40</v>
      </c>
      <c r="I38" s="97" t="s">
        <v>40</v>
      </c>
    </row>
    <row r="39" spans="1:9" x14ac:dyDescent="0.2">
      <c r="A39" s="48"/>
      <c r="B39" s="77" t="s">
        <v>204</v>
      </c>
      <c r="C39" s="78"/>
      <c r="D39" s="78"/>
      <c r="E39" s="78"/>
      <c r="F39" s="82">
        <v>0</v>
      </c>
      <c r="G39" s="82">
        <v>19800</v>
      </c>
      <c r="H39" s="82">
        <v>0</v>
      </c>
      <c r="I39" s="5">
        <f>F39+G39-H39</f>
        <v>19800</v>
      </c>
    </row>
    <row r="40" spans="1:9" x14ac:dyDescent="0.2">
      <c r="A40" s="48"/>
      <c r="B40" s="77" t="s">
        <v>501</v>
      </c>
      <c r="C40" s="78"/>
      <c r="D40" s="78"/>
      <c r="E40" s="78"/>
      <c r="F40" s="82">
        <v>0</v>
      </c>
      <c r="G40" s="82">
        <v>656000</v>
      </c>
      <c r="H40" s="82">
        <v>656000</v>
      </c>
      <c r="I40" s="5">
        <f t="shared" ref="I40:I41" si="0">F40+G40-H40</f>
        <v>0</v>
      </c>
    </row>
    <row r="41" spans="1:9" x14ac:dyDescent="0.2">
      <c r="A41" s="48"/>
      <c r="B41" s="77" t="s">
        <v>502</v>
      </c>
      <c r="C41" s="78"/>
      <c r="D41" s="78"/>
      <c r="E41" s="78"/>
      <c r="F41" s="82">
        <v>0</v>
      </c>
      <c r="G41" s="82">
        <v>3000</v>
      </c>
      <c r="H41" s="82">
        <v>1500</v>
      </c>
      <c r="I41" s="5">
        <f t="shared" si="0"/>
        <v>1500</v>
      </c>
    </row>
    <row r="42" spans="1:9" x14ac:dyDescent="0.2">
      <c r="A42" s="48"/>
      <c r="B42" s="69"/>
      <c r="F42" s="7">
        <f>SUM(F39:F41)</f>
        <v>0</v>
      </c>
      <c r="G42" s="7">
        <f>SUM(G39:G41)</f>
        <v>678800</v>
      </c>
      <c r="H42" s="7">
        <f>SUM(H39:H41)</f>
        <v>657500</v>
      </c>
      <c r="I42" s="7">
        <f>SUM(I39:I41)</f>
        <v>21300</v>
      </c>
    </row>
    <row r="43" spans="1:9" x14ac:dyDescent="0.2">
      <c r="A43" s="48"/>
      <c r="B43" s="69"/>
      <c r="F43" s="10"/>
      <c r="G43" s="10"/>
      <c r="H43" s="10"/>
    </row>
    <row r="44" spans="1:9" x14ac:dyDescent="0.2">
      <c r="A44" s="48"/>
      <c r="B44" s="69" t="s">
        <v>394</v>
      </c>
      <c r="F44" s="10"/>
      <c r="G44" s="10"/>
      <c r="H44" s="10"/>
    </row>
    <row r="45" spans="1:9" x14ac:dyDescent="0.2">
      <c r="A45" s="48"/>
      <c r="B45" s="69" t="s">
        <v>393</v>
      </c>
      <c r="F45" s="10"/>
      <c r="G45" s="10"/>
      <c r="H45" s="10"/>
    </row>
    <row r="46" spans="1:9" x14ac:dyDescent="0.2">
      <c r="A46" s="48"/>
      <c r="B46" s="69"/>
      <c r="F46" s="10"/>
      <c r="G46" s="10"/>
      <c r="H46" s="10"/>
    </row>
    <row r="47" spans="1:9" x14ac:dyDescent="0.2">
      <c r="A47" s="48">
        <v>3</v>
      </c>
      <c r="B47" s="69" t="s">
        <v>584</v>
      </c>
      <c r="F47" s="10"/>
      <c r="G47" s="10"/>
      <c r="H47" s="10"/>
    </row>
    <row r="48" spans="1:9" x14ac:dyDescent="0.2">
      <c r="A48" s="48"/>
      <c r="B48" s="69" t="s">
        <v>585</v>
      </c>
    </row>
    <row r="49" spans="1:12" x14ac:dyDescent="0.2">
      <c r="A49" s="42"/>
    </row>
    <row r="50" spans="1:12" x14ac:dyDescent="0.2">
      <c r="A50" s="1" t="s">
        <v>149</v>
      </c>
    </row>
    <row r="51" spans="1:12" x14ac:dyDescent="0.2">
      <c r="A51" s="26"/>
    </row>
    <row r="52" spans="1:12" x14ac:dyDescent="0.2">
      <c r="A52" s="26">
        <v>1</v>
      </c>
      <c r="B52" s="69" t="s">
        <v>517</v>
      </c>
    </row>
    <row r="53" spans="1:12" x14ac:dyDescent="0.2">
      <c r="A53" s="12"/>
      <c r="B53" s="1"/>
    </row>
    <row r="54" spans="1:12" x14ac:dyDescent="0.2">
      <c r="A54">
        <v>2</v>
      </c>
      <c r="B54" s="69" t="s">
        <v>171</v>
      </c>
      <c r="K54" s="69"/>
    </row>
    <row r="55" spans="1:12" x14ac:dyDescent="0.2">
      <c r="B55" s="69" t="s">
        <v>181</v>
      </c>
    </row>
    <row r="56" spans="1:12" x14ac:dyDescent="0.2">
      <c r="B56" s="69" t="s">
        <v>571</v>
      </c>
    </row>
    <row r="57" spans="1:12" x14ac:dyDescent="0.2">
      <c r="B57" s="69" t="s">
        <v>573</v>
      </c>
    </row>
    <row r="58" spans="1:12" x14ac:dyDescent="0.2">
      <c r="A58" s="26"/>
      <c r="K58" s="69"/>
    </row>
    <row r="59" spans="1:12" x14ac:dyDescent="0.2">
      <c r="A59" s="102">
        <v>3</v>
      </c>
      <c r="B59" s="69" t="s">
        <v>503</v>
      </c>
      <c r="K59" s="69"/>
      <c r="L59" s="69"/>
    </row>
    <row r="60" spans="1:12" x14ac:dyDescent="0.2">
      <c r="A60" s="102"/>
      <c r="B60" s="69"/>
    </row>
    <row r="61" spans="1:12" x14ac:dyDescent="0.2">
      <c r="A61" s="69"/>
      <c r="B61" s="69"/>
      <c r="K61" s="69"/>
      <c r="L61" s="69"/>
    </row>
    <row r="62" spans="1:12" x14ac:dyDescent="0.2">
      <c r="A62" s="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&amp;CPage 2b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workbookViewId="0">
      <selection activeCell="F21" sqref="F21"/>
    </sheetView>
  </sheetViews>
  <sheetFormatPr defaultRowHeight="12.75" x14ac:dyDescent="0.2"/>
  <cols>
    <col min="1" max="5" width="9.140625" style="5"/>
    <col min="6" max="7" width="10.85546875" style="5" customWidth="1"/>
    <col min="8" max="8" width="9.7109375" style="5" customWidth="1"/>
    <col min="9" max="9" width="11.28515625" style="5" customWidth="1"/>
    <col min="10" max="10" width="10.7109375" style="5" bestFit="1" customWidth="1"/>
    <col min="11" max="11" width="9.85546875" style="5" customWidth="1"/>
    <col min="12" max="16384" width="9.140625" style="5"/>
  </cols>
  <sheetData>
    <row r="1" spans="1:10" ht="15.75" x14ac:dyDescent="0.25">
      <c r="A1" s="39" t="s">
        <v>27</v>
      </c>
      <c r="B1" s="39"/>
      <c r="C1" s="39"/>
      <c r="D1" s="39"/>
      <c r="E1" s="39"/>
      <c r="F1" s="39"/>
      <c r="G1" s="39"/>
      <c r="H1" s="39"/>
    </row>
    <row r="2" spans="1:10" ht="15.75" x14ac:dyDescent="0.25">
      <c r="A2" s="39"/>
      <c r="B2" s="39"/>
      <c r="C2" s="39"/>
      <c r="D2" s="39"/>
      <c r="E2" s="39"/>
      <c r="F2" s="39"/>
      <c r="G2" s="39"/>
      <c r="H2" s="39"/>
    </row>
    <row r="3" spans="1:10" ht="15.75" x14ac:dyDescent="0.25">
      <c r="A3" s="39" t="s">
        <v>229</v>
      </c>
      <c r="C3" s="39"/>
      <c r="D3" s="39"/>
      <c r="E3" s="39"/>
      <c r="H3" s="39"/>
    </row>
    <row r="4" spans="1:10" ht="15.75" x14ac:dyDescent="0.25">
      <c r="C4" s="39"/>
      <c r="D4" s="39"/>
      <c r="E4" s="39"/>
      <c r="H4" s="39"/>
    </row>
    <row r="5" spans="1:10" ht="15.75" x14ac:dyDescent="0.25">
      <c r="F5" s="133" t="s">
        <v>568</v>
      </c>
      <c r="G5" s="133"/>
      <c r="H5" s="133"/>
      <c r="I5" s="133" t="s">
        <v>570</v>
      </c>
    </row>
    <row r="6" spans="1:10" ht="15.75" x14ac:dyDescent="0.25">
      <c r="F6" s="133" t="s">
        <v>256</v>
      </c>
      <c r="G6" s="133"/>
      <c r="H6" s="133"/>
      <c r="I6" s="133" t="s">
        <v>256</v>
      </c>
    </row>
    <row r="8" spans="1:10" ht="15.75" x14ac:dyDescent="0.25">
      <c r="F8" s="61" t="s">
        <v>486</v>
      </c>
      <c r="G8" s="61"/>
      <c r="I8" s="61" t="s">
        <v>396</v>
      </c>
    </row>
    <row r="9" spans="1:10" x14ac:dyDescent="0.2">
      <c r="F9" s="51" t="s">
        <v>40</v>
      </c>
      <c r="G9" s="51"/>
      <c r="I9" s="51" t="s">
        <v>40</v>
      </c>
    </row>
    <row r="10" spans="1:10" x14ac:dyDescent="0.2">
      <c r="A10" s="22" t="s">
        <v>264</v>
      </c>
    </row>
    <row r="11" spans="1:10" x14ac:dyDescent="0.2">
      <c r="A11" s="72" t="s">
        <v>265</v>
      </c>
      <c r="F11" s="5">
        <f>'BAL SHEET CALCS'!BK8</f>
        <v>33066648</v>
      </c>
      <c r="I11" s="5">
        <v>32585037</v>
      </c>
    </row>
    <row r="12" spans="1:10" x14ac:dyDescent="0.2">
      <c r="A12" s="72" t="s">
        <v>266</v>
      </c>
      <c r="B12" s="72"/>
      <c r="C12" s="72"/>
      <c r="D12" s="72"/>
      <c r="E12" s="72"/>
      <c r="F12" s="73">
        <f>'BAL SHEET CALCS'!BK9</f>
        <v>-7239957</v>
      </c>
      <c r="G12" s="72">
        <f>SUM(F11:F12)</f>
        <v>25826691</v>
      </c>
      <c r="I12" s="6">
        <f>-7279890</f>
        <v>-7279890</v>
      </c>
      <c r="J12" s="5">
        <f>SUM(I11:I12)</f>
        <v>25305147</v>
      </c>
    </row>
    <row r="13" spans="1:10" x14ac:dyDescent="0.2">
      <c r="A13" s="72"/>
    </row>
    <row r="14" spans="1:10" x14ac:dyDescent="0.2">
      <c r="A14" s="72" t="s">
        <v>267</v>
      </c>
      <c r="B14" s="72"/>
      <c r="C14" s="72"/>
      <c r="D14" s="72"/>
      <c r="E14" s="72"/>
      <c r="F14" s="72"/>
      <c r="G14" s="72">
        <f>'BAL SHEET CALCS'!BK19</f>
        <v>1045011</v>
      </c>
      <c r="H14" s="14"/>
      <c r="J14" s="5">
        <v>1058333</v>
      </c>
    </row>
    <row r="16" spans="1:10" ht="13.5" thickBot="1" x14ac:dyDescent="0.25">
      <c r="A16" s="72" t="s">
        <v>268</v>
      </c>
      <c r="F16" s="27"/>
      <c r="G16" s="99">
        <f>SUM(G12:G15)</f>
        <v>26871702</v>
      </c>
      <c r="H16" s="22"/>
      <c r="I16" s="27"/>
      <c r="J16" s="99">
        <f>SUM(J12:J15)</f>
        <v>26363480</v>
      </c>
    </row>
    <row r="19" spans="1:10" x14ac:dyDescent="0.2">
      <c r="A19" s="22" t="s">
        <v>117</v>
      </c>
    </row>
    <row r="20" spans="1:10" x14ac:dyDescent="0.2">
      <c r="A20" s="72" t="s">
        <v>269</v>
      </c>
      <c r="F20" s="5">
        <f>'BAL SHEET CALCS'!BK22</f>
        <v>193219</v>
      </c>
      <c r="I20" s="5">
        <v>392923</v>
      </c>
    </row>
    <row r="21" spans="1:10" x14ac:dyDescent="0.2">
      <c r="A21" s="72" t="s">
        <v>109</v>
      </c>
      <c r="F21" s="6">
        <f>'BAL SHEET CALCS'!BK23</f>
        <v>1631343.1600000001</v>
      </c>
      <c r="G21" s="10">
        <f>SUM(F20:F21)</f>
        <v>1824562.1600000001</v>
      </c>
      <c r="I21" s="6">
        <v>1097760</v>
      </c>
      <c r="J21" s="5">
        <f>SUM(I20:I21)</f>
        <v>1490683</v>
      </c>
    </row>
    <row r="23" spans="1:10" x14ac:dyDescent="0.2">
      <c r="A23" s="22" t="s">
        <v>270</v>
      </c>
    </row>
    <row r="24" spans="1:10" x14ac:dyDescent="0.2">
      <c r="A24" s="72" t="s">
        <v>271</v>
      </c>
      <c r="F24" s="5">
        <f>'BAL SHEET CALCS'!BK26</f>
        <v>-224472</v>
      </c>
      <c r="I24" s="5">
        <f>-284801</f>
        <v>-284801</v>
      </c>
    </row>
    <row r="25" spans="1:10" x14ac:dyDescent="0.2">
      <c r="A25" s="72" t="s">
        <v>223</v>
      </c>
      <c r="F25" s="5">
        <f>'BAL SHEET CALCS'!BK27</f>
        <v>-175000</v>
      </c>
      <c r="I25" s="5">
        <f>-175000</f>
        <v>-175000</v>
      </c>
    </row>
    <row r="26" spans="1:10" x14ac:dyDescent="0.2">
      <c r="A26" s="72" t="s">
        <v>272</v>
      </c>
      <c r="B26" s="72"/>
      <c r="C26" s="72"/>
      <c r="D26" s="72"/>
      <c r="E26" s="72"/>
      <c r="F26" s="73">
        <f>'BAL SHEET CALCS'!BK28</f>
        <v>0</v>
      </c>
      <c r="G26" s="72">
        <f>SUM(F24:F26)</f>
        <v>-399472</v>
      </c>
      <c r="I26" s="6">
        <f>-49251</f>
        <v>-49251</v>
      </c>
      <c r="J26" s="5">
        <f>SUM(I24:I26)</f>
        <v>-509052</v>
      </c>
    </row>
    <row r="28" spans="1:10" ht="13.5" thickBot="1" x14ac:dyDescent="0.25">
      <c r="A28" s="22" t="s">
        <v>273</v>
      </c>
      <c r="F28" s="27"/>
      <c r="G28" s="99">
        <f>SUM(G21:G27)</f>
        <v>1425090.1600000001</v>
      </c>
      <c r="H28" s="22"/>
      <c r="I28" s="27"/>
      <c r="J28" s="99">
        <f>SUM(J21:J27)</f>
        <v>981631</v>
      </c>
    </row>
    <row r="29" spans="1:10" x14ac:dyDescent="0.2">
      <c r="A29" s="22"/>
      <c r="F29" s="27"/>
      <c r="G29" s="27"/>
      <c r="H29" s="22"/>
      <c r="I29" s="27"/>
    </row>
    <row r="30" spans="1:10" x14ac:dyDescent="0.2">
      <c r="A30" s="22"/>
      <c r="F30" s="27"/>
      <c r="G30" s="27"/>
      <c r="H30" s="22"/>
      <c r="I30" s="27"/>
    </row>
    <row r="31" spans="1:10" x14ac:dyDescent="0.2">
      <c r="A31" s="22" t="s">
        <v>274</v>
      </c>
      <c r="F31" s="27"/>
      <c r="G31" s="27">
        <f>G16+G28</f>
        <v>28296792.16</v>
      </c>
      <c r="H31" s="27"/>
      <c r="I31" s="27"/>
      <c r="J31" s="27">
        <f t="shared" ref="J31" si="0">J16+J28</f>
        <v>27345111</v>
      </c>
    </row>
    <row r="32" spans="1:10" x14ac:dyDescent="0.2">
      <c r="A32" s="22"/>
      <c r="F32" s="27"/>
      <c r="G32" s="27"/>
      <c r="H32" s="22"/>
      <c r="I32" s="27"/>
    </row>
    <row r="34" spans="1:10" x14ac:dyDescent="0.2">
      <c r="A34" s="22" t="s">
        <v>275</v>
      </c>
    </row>
    <row r="35" spans="1:10" x14ac:dyDescent="0.2">
      <c r="A35" s="72" t="s">
        <v>223</v>
      </c>
      <c r="F35" s="5">
        <f>'BAL SHEET CALCS'!BK32+'BAL SHEET CALCS'!BK33</f>
        <v>-13759000</v>
      </c>
      <c r="I35" s="5">
        <f>-14009000</f>
        <v>-14009000</v>
      </c>
    </row>
    <row r="36" spans="1:10" x14ac:dyDescent="0.2">
      <c r="A36" s="72" t="s">
        <v>276</v>
      </c>
      <c r="F36" s="5">
        <f>'BAL SHEET CALCS'!BK34+'BAL SHEET CALCS'!BK35</f>
        <v>-680000</v>
      </c>
      <c r="I36" s="5">
        <f>-357146</f>
        <v>-357146</v>
      </c>
    </row>
    <row r="37" spans="1:10" x14ac:dyDescent="0.2">
      <c r="A37" s="72" t="s">
        <v>277</v>
      </c>
      <c r="B37" s="72"/>
      <c r="C37" s="72"/>
      <c r="D37" s="72"/>
      <c r="E37" s="72"/>
      <c r="F37" s="73">
        <f>'BAL SHEET CALCS'!BK38</f>
        <v>0</v>
      </c>
      <c r="G37" s="72">
        <f>SUM(F35:F37)</f>
        <v>-14439000</v>
      </c>
      <c r="I37" s="6">
        <f>-45809</f>
        <v>-45809</v>
      </c>
      <c r="J37" s="5">
        <f>SUM(I35:I37)</f>
        <v>-14411955</v>
      </c>
    </row>
    <row r="38" spans="1:10" x14ac:dyDescent="0.2">
      <c r="A38" s="72"/>
      <c r="B38" s="72"/>
      <c r="C38" s="72"/>
      <c r="D38" s="72"/>
      <c r="E38" s="72"/>
      <c r="F38" s="70"/>
      <c r="G38" s="72"/>
      <c r="I38" s="10"/>
    </row>
    <row r="39" spans="1:10" x14ac:dyDescent="0.2">
      <c r="A39" s="72" t="s">
        <v>564</v>
      </c>
      <c r="B39" s="72"/>
      <c r="C39" s="72"/>
      <c r="D39" s="72"/>
      <c r="E39" s="72"/>
      <c r="F39" s="70"/>
      <c r="G39" s="5">
        <f>'BAL SHEET CALCS'!BK37</f>
        <v>-341183.16</v>
      </c>
      <c r="I39" s="10"/>
      <c r="J39" s="5">
        <v>0</v>
      </c>
    </row>
    <row r="40" spans="1:10" x14ac:dyDescent="0.2">
      <c r="A40" s="14"/>
    </row>
    <row r="41" spans="1:10" x14ac:dyDescent="0.2">
      <c r="A41" s="22" t="s">
        <v>278</v>
      </c>
      <c r="F41" s="10"/>
      <c r="G41" s="10"/>
      <c r="I41" s="10"/>
    </row>
    <row r="42" spans="1:10" x14ac:dyDescent="0.2">
      <c r="A42" s="72" t="s">
        <v>221</v>
      </c>
      <c r="B42" s="72"/>
      <c r="C42" s="72"/>
      <c r="D42" s="72"/>
      <c r="E42" s="72"/>
      <c r="F42" s="70">
        <f>'BAL SHEET CALCS'!BK41</f>
        <v>-12569649</v>
      </c>
      <c r="G42" s="70"/>
      <c r="I42" s="10">
        <f>-12659384</f>
        <v>-12659384</v>
      </c>
    </row>
    <row r="43" spans="1:10" x14ac:dyDescent="0.2">
      <c r="A43" s="72" t="s">
        <v>279</v>
      </c>
      <c r="B43" s="72"/>
      <c r="C43" s="72"/>
      <c r="D43" s="72"/>
      <c r="E43" s="72"/>
      <c r="F43" s="70">
        <f>'BAL SHEET CALCS'!BK42</f>
        <v>-410266</v>
      </c>
      <c r="G43" s="70"/>
      <c r="I43" s="10">
        <f>-410316</f>
        <v>-410316</v>
      </c>
    </row>
    <row r="44" spans="1:10" x14ac:dyDescent="0.2">
      <c r="A44" s="72" t="s">
        <v>226</v>
      </c>
      <c r="B44" s="72"/>
      <c r="C44" s="72"/>
      <c r="D44" s="72"/>
      <c r="E44" s="72"/>
      <c r="F44" s="73">
        <f>'BAL SHEET CALCS'!BB43</f>
        <v>0</v>
      </c>
      <c r="G44" s="70">
        <f>SUM(F42:F44)</f>
        <v>-12979915</v>
      </c>
      <c r="I44" s="6">
        <v>0</v>
      </c>
      <c r="J44" s="5">
        <f>SUM(I42:I44)</f>
        <v>-13069700</v>
      </c>
    </row>
    <row r="45" spans="1:10" x14ac:dyDescent="0.2">
      <c r="A45" s="72"/>
    </row>
    <row r="47" spans="1:10" ht="13.5" thickBot="1" x14ac:dyDescent="0.25">
      <c r="A47" s="22" t="s">
        <v>280</v>
      </c>
      <c r="F47" s="27"/>
      <c r="G47" s="25">
        <f>SUM(G31:G46)</f>
        <v>536694</v>
      </c>
      <c r="I47" s="27"/>
      <c r="J47" s="25">
        <f>SUM(J31:J46)</f>
        <v>-136544</v>
      </c>
    </row>
    <row r="48" spans="1:10" ht="13.5" thickTop="1" x14ac:dyDescent="0.2"/>
    <row r="51" spans="1:11" x14ac:dyDescent="0.2">
      <c r="A51" s="22" t="s">
        <v>534</v>
      </c>
      <c r="I51" s="10"/>
    </row>
    <row r="52" spans="1:11" x14ac:dyDescent="0.2">
      <c r="A52" s="72" t="s">
        <v>281</v>
      </c>
      <c r="G52" s="5">
        <f>'BAL SHEET CALCS'!BK50</f>
        <v>60</v>
      </c>
      <c r="I52" s="10"/>
      <c r="J52" s="5">
        <v>72</v>
      </c>
    </row>
    <row r="53" spans="1:11" x14ac:dyDescent="0.2">
      <c r="A53" s="72" t="s">
        <v>111</v>
      </c>
      <c r="B53" s="72"/>
      <c r="C53" s="72"/>
      <c r="D53" s="72"/>
      <c r="E53" s="72"/>
      <c r="F53" s="72"/>
      <c r="G53" s="72">
        <f>'BAL SHEET CALCS'!BK51</f>
        <v>877817.15999999992</v>
      </c>
      <c r="I53" s="10"/>
      <c r="J53" s="5">
        <f>-136616</f>
        <v>-136616</v>
      </c>
    </row>
    <row r="54" spans="1:11" x14ac:dyDescent="0.2">
      <c r="A54" s="72" t="s">
        <v>548</v>
      </c>
      <c r="G54" s="5">
        <f>'BAL SHEET CALCS'!BK53</f>
        <v>-341183.16</v>
      </c>
      <c r="I54" s="10"/>
      <c r="J54" s="5">
        <v>0</v>
      </c>
      <c r="K54" s="72"/>
    </row>
    <row r="55" spans="1:11" x14ac:dyDescent="0.2">
      <c r="A55" s="72"/>
      <c r="I55" s="10"/>
      <c r="J55" s="22"/>
    </row>
    <row r="56" spans="1:11" ht="13.5" thickBot="1" x14ac:dyDescent="0.25">
      <c r="A56" s="72" t="s">
        <v>282</v>
      </c>
      <c r="F56" s="27"/>
      <c r="G56" s="25">
        <f>SUM(G52:G54)</f>
        <v>536694</v>
      </c>
      <c r="I56" s="27"/>
      <c r="J56" s="25">
        <f>SUM(J52:J54)</f>
        <v>-136544</v>
      </c>
    </row>
    <row r="57" spans="1:11" ht="13.5" thickTop="1" x14ac:dyDescent="0.2">
      <c r="I57" s="10"/>
    </row>
    <row r="58" spans="1:11" x14ac:dyDescent="0.2">
      <c r="I58" s="10"/>
    </row>
    <row r="59" spans="1:11" x14ac:dyDescent="0.2">
      <c r="A59" s="10"/>
      <c r="B59" s="10"/>
      <c r="C59" s="10"/>
      <c r="D59" s="10"/>
      <c r="E59" s="10"/>
      <c r="F59" s="10"/>
      <c r="G59" s="10"/>
      <c r="H59" s="10"/>
      <c r="I59" s="10"/>
    </row>
    <row r="60" spans="1:11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11" x14ac:dyDescent="0.2">
      <c r="A61" s="10"/>
      <c r="B61" s="10"/>
      <c r="C61" s="10"/>
      <c r="D61" s="10"/>
      <c r="E61" s="10"/>
      <c r="F61" s="10"/>
      <c r="G61" s="10"/>
      <c r="H61" s="10"/>
      <c r="I61" s="68"/>
    </row>
    <row r="62" spans="1:11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11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11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10"/>
      <c r="F66" s="10"/>
      <c r="G66" s="10"/>
      <c r="H66" s="10"/>
      <c r="I66" s="1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Footer>&amp;CPage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A10" workbookViewId="0">
      <selection activeCell="C50" sqref="C50"/>
    </sheetView>
  </sheetViews>
  <sheetFormatPr defaultRowHeight="12.75" x14ac:dyDescent="0.2"/>
  <cols>
    <col min="1" max="1" width="3.140625" customWidth="1"/>
    <col min="2" max="2" width="9.140625" customWidth="1"/>
    <col min="4" max="4" width="9.140625" customWidth="1"/>
    <col min="5" max="5" width="10.42578125" customWidth="1"/>
    <col min="6" max="6" width="10.7109375" customWidth="1"/>
    <col min="7" max="16" width="9.140625" customWidth="1"/>
    <col min="18" max="18" width="9.140625" customWidth="1"/>
  </cols>
  <sheetData>
    <row r="1" spans="1:18" ht="15.75" x14ac:dyDescent="0.25">
      <c r="A1" s="2" t="s">
        <v>27</v>
      </c>
      <c r="R1" s="69"/>
    </row>
    <row r="2" spans="1:18" x14ac:dyDescent="0.2">
      <c r="A2" s="1"/>
    </row>
    <row r="3" spans="1:18" x14ac:dyDescent="0.2">
      <c r="A3" s="1" t="s">
        <v>148</v>
      </c>
    </row>
    <row r="5" spans="1:18" x14ac:dyDescent="0.2">
      <c r="A5">
        <v>1</v>
      </c>
      <c r="B5" s="69" t="s">
        <v>504</v>
      </c>
      <c r="R5" s="69"/>
    </row>
    <row r="6" spans="1:18" x14ac:dyDescent="0.2">
      <c r="B6" s="69" t="s">
        <v>555</v>
      </c>
      <c r="R6" s="69"/>
    </row>
    <row r="7" spans="1:18" x14ac:dyDescent="0.2">
      <c r="B7" s="69" t="s">
        <v>556</v>
      </c>
      <c r="R7" s="69"/>
    </row>
    <row r="8" spans="1:18" x14ac:dyDescent="0.2">
      <c r="B8" s="69" t="s">
        <v>505</v>
      </c>
      <c r="R8" s="69"/>
    </row>
    <row r="9" spans="1:18" x14ac:dyDescent="0.2">
      <c r="B9" s="69"/>
      <c r="R9" s="69"/>
    </row>
    <row r="10" spans="1:18" x14ac:dyDescent="0.2">
      <c r="B10" s="69" t="s">
        <v>551</v>
      </c>
      <c r="E10" s="23" t="s">
        <v>40</v>
      </c>
      <c r="R10" s="69"/>
    </row>
    <row r="11" spans="1:18" x14ac:dyDescent="0.2">
      <c r="B11" s="69" t="s">
        <v>514</v>
      </c>
      <c r="E11" s="5">
        <v>500000</v>
      </c>
      <c r="R11" s="69"/>
    </row>
    <row r="12" spans="1:18" x14ac:dyDescent="0.2">
      <c r="B12" s="69" t="s">
        <v>552</v>
      </c>
      <c r="E12" s="5">
        <v>137600</v>
      </c>
      <c r="R12" s="69"/>
    </row>
    <row r="13" spans="1:18" x14ac:dyDescent="0.2">
      <c r="B13" s="69" t="s">
        <v>553</v>
      </c>
      <c r="E13" s="5">
        <v>10000</v>
      </c>
      <c r="R13" s="69"/>
    </row>
    <row r="14" spans="1:18" ht="13.5" thickBot="1" x14ac:dyDescent="0.25">
      <c r="B14" s="69"/>
      <c r="E14" s="9">
        <f>SUM(E11:E13)</f>
        <v>647600</v>
      </c>
      <c r="R14" s="69"/>
    </row>
    <row r="15" spans="1:18" ht="13.5" thickTop="1" x14ac:dyDescent="0.2">
      <c r="B15" s="69"/>
      <c r="R15" s="69"/>
    </row>
    <row r="16" spans="1:18" x14ac:dyDescent="0.2">
      <c r="A16">
        <v>2</v>
      </c>
      <c r="B16" s="69" t="s">
        <v>557</v>
      </c>
      <c r="K16" s="69"/>
      <c r="R16" s="69"/>
    </row>
    <row r="17" spans="1:18" x14ac:dyDescent="0.2">
      <c r="R17" s="69"/>
    </row>
    <row r="18" spans="1:18" x14ac:dyDescent="0.2">
      <c r="A18">
        <v>3</v>
      </c>
      <c r="B18" s="69" t="s">
        <v>518</v>
      </c>
      <c r="K18" s="69"/>
    </row>
    <row r="19" spans="1:18" x14ac:dyDescent="0.2">
      <c r="B19" s="69" t="s">
        <v>519</v>
      </c>
    </row>
    <row r="20" spans="1:18" x14ac:dyDescent="0.2">
      <c r="B20" s="69"/>
    </row>
    <row r="21" spans="1:18" x14ac:dyDescent="0.2">
      <c r="A21" s="69">
        <v>4</v>
      </c>
      <c r="B21" s="77" t="s">
        <v>535</v>
      </c>
    </row>
    <row r="22" spans="1:18" x14ac:dyDescent="0.2">
      <c r="A22" s="69"/>
      <c r="B22" s="77"/>
    </row>
    <row r="23" spans="1:18" x14ac:dyDescent="0.2">
      <c r="A23" s="69">
        <v>5</v>
      </c>
      <c r="B23" s="77" t="s">
        <v>574</v>
      </c>
    </row>
    <row r="24" spans="1:18" x14ac:dyDescent="0.2">
      <c r="A24" s="69"/>
      <c r="B24" s="77" t="s">
        <v>558</v>
      </c>
    </row>
    <row r="25" spans="1:18" x14ac:dyDescent="0.2">
      <c r="B25" s="69"/>
    </row>
    <row r="26" spans="1:18" x14ac:dyDescent="0.2">
      <c r="A26">
        <v>5</v>
      </c>
      <c r="B26" s="77" t="s">
        <v>520</v>
      </c>
      <c r="K26" s="69"/>
    </row>
    <row r="27" spans="1:18" x14ac:dyDescent="0.2">
      <c r="B27" s="77" t="s">
        <v>586</v>
      </c>
      <c r="C27" s="78"/>
      <c r="D27" s="78"/>
      <c r="E27" s="78"/>
      <c r="F27" s="78"/>
      <c r="G27" s="78"/>
      <c r="R27" s="69"/>
    </row>
    <row r="28" spans="1:18" x14ac:dyDescent="0.2">
      <c r="B28" s="77"/>
      <c r="C28" s="78"/>
      <c r="D28" s="78"/>
      <c r="E28" s="78"/>
      <c r="F28" s="78"/>
      <c r="G28" s="78"/>
      <c r="R28" s="69"/>
    </row>
    <row r="29" spans="1:18" x14ac:dyDescent="0.2">
      <c r="A29">
        <v>6</v>
      </c>
      <c r="B29" s="69" t="s">
        <v>546</v>
      </c>
      <c r="K29" s="69"/>
      <c r="R29" s="69"/>
    </row>
    <row r="30" spans="1:18" x14ac:dyDescent="0.2">
      <c r="B30" s="69" t="s">
        <v>545</v>
      </c>
      <c r="K30" s="69"/>
      <c r="R30" s="69"/>
    </row>
    <row r="31" spans="1:18" x14ac:dyDescent="0.2">
      <c r="B31" s="69" t="s">
        <v>521</v>
      </c>
      <c r="R31" s="69"/>
    </row>
    <row r="32" spans="1:18" x14ac:dyDescent="0.2">
      <c r="B32" s="69" t="s">
        <v>559</v>
      </c>
    </row>
    <row r="33" spans="1:11" x14ac:dyDescent="0.2">
      <c r="B33" s="69"/>
    </row>
    <row r="34" spans="1:11" x14ac:dyDescent="0.2">
      <c r="A34" s="69">
        <v>7</v>
      </c>
      <c r="B34" s="69" t="s">
        <v>560</v>
      </c>
      <c r="K34" s="69"/>
    </row>
    <row r="35" spans="1:11" x14ac:dyDescent="0.2">
      <c r="B35" s="69" t="s">
        <v>561</v>
      </c>
      <c r="F35" s="10"/>
    </row>
    <row r="36" spans="1:11" x14ac:dyDescent="0.2">
      <c r="B36" s="69"/>
      <c r="F36" s="10"/>
    </row>
    <row r="37" spans="1:11" x14ac:dyDescent="0.2">
      <c r="A37">
        <v>8</v>
      </c>
      <c r="B37" s="69" t="s">
        <v>562</v>
      </c>
      <c r="K37" s="69"/>
    </row>
    <row r="38" spans="1:11" x14ac:dyDescent="0.2">
      <c r="B38" s="69" t="s">
        <v>563</v>
      </c>
      <c r="F38" s="5"/>
    </row>
    <row r="39" spans="1:11" x14ac:dyDescent="0.2">
      <c r="B39" s="69"/>
      <c r="F39" s="5"/>
    </row>
    <row r="40" spans="1:11" x14ac:dyDescent="0.2">
      <c r="A40">
        <v>9</v>
      </c>
      <c r="B40" s="69" t="s">
        <v>565</v>
      </c>
      <c r="F40" s="5"/>
    </row>
    <row r="41" spans="1:11" x14ac:dyDescent="0.2">
      <c r="B41" s="69" t="s">
        <v>567</v>
      </c>
      <c r="F41" s="5"/>
    </row>
    <row r="42" spans="1:11" x14ac:dyDescent="0.2">
      <c r="B42" s="69" t="s">
        <v>566</v>
      </c>
      <c r="E42" s="29">
        <f>-'Page 3'!G39</f>
        <v>341183.16</v>
      </c>
      <c r="F42" s="5"/>
    </row>
    <row r="43" spans="1:11" x14ac:dyDescent="0.2">
      <c r="B43" s="69"/>
      <c r="F43" s="5"/>
    </row>
    <row r="44" spans="1:11" x14ac:dyDescent="0.2">
      <c r="A44" s="69">
        <v>10</v>
      </c>
      <c r="B44" s="69" t="s">
        <v>506</v>
      </c>
      <c r="C44" s="69"/>
      <c r="D44" s="69"/>
      <c r="E44" s="69"/>
      <c r="F44" s="72"/>
      <c r="K44" s="69"/>
    </row>
    <row r="45" spans="1:11" x14ac:dyDescent="0.2">
      <c r="B45" s="69" t="s">
        <v>507</v>
      </c>
      <c r="F45" s="5"/>
    </row>
    <row r="46" spans="1:11" x14ac:dyDescent="0.2">
      <c r="B46" s="13"/>
    </row>
    <row r="47" spans="1:11" x14ac:dyDescent="0.2">
      <c r="A47">
        <v>11</v>
      </c>
      <c r="B47" s="69" t="s">
        <v>587</v>
      </c>
      <c r="G47" s="30">
        <f>'Page 3'!G47</f>
        <v>536694</v>
      </c>
      <c r="K47" s="69"/>
    </row>
    <row r="50" spans="2:2" x14ac:dyDescent="0.2">
      <c r="B50" s="1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&amp;CPage 3a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64"/>
  <sheetViews>
    <sheetView workbookViewId="0">
      <pane xSplit="34" ySplit="5" topLeftCell="AP6" activePane="bottomRight" state="frozen"/>
      <selection activeCell="G32" sqref="G32"/>
      <selection pane="topRight" activeCell="G32" sqref="G32"/>
      <selection pane="bottomLeft" activeCell="G32" sqref="G32"/>
      <selection pane="bottomRight" activeCell="BJ8" sqref="BJ8"/>
    </sheetView>
  </sheetViews>
  <sheetFormatPr defaultRowHeight="12.75" x14ac:dyDescent="0.2"/>
  <cols>
    <col min="1" max="3" width="9.140625" style="5"/>
    <col min="4" max="4" width="9.140625" style="5" customWidth="1"/>
    <col min="5" max="8" width="9.7109375" style="5" hidden="1" customWidth="1"/>
    <col min="9" max="9" width="9.140625" style="5" hidden="1" customWidth="1"/>
    <col min="10" max="14" width="9.7109375" style="5" hidden="1" customWidth="1"/>
    <col min="15" max="17" width="11.42578125" style="5" hidden="1" customWidth="1"/>
    <col min="18" max="19" width="9.7109375" style="5" hidden="1" customWidth="1"/>
    <col min="20" max="21" width="10.7109375" style="5" hidden="1" customWidth="1"/>
    <col min="22" max="22" width="9.7109375" style="5" hidden="1" customWidth="1"/>
    <col min="23" max="25" width="10.42578125" style="5" hidden="1" customWidth="1"/>
    <col min="26" max="26" width="9.7109375" style="5" hidden="1" customWidth="1"/>
    <col min="27" max="27" width="11.85546875" style="5" hidden="1" customWidth="1"/>
    <col min="28" max="33" width="11" style="5" hidden="1" customWidth="1"/>
    <col min="34" max="34" width="12" style="5" hidden="1" customWidth="1"/>
    <col min="35" max="35" width="9.7109375" style="5" hidden="1" customWidth="1"/>
    <col min="36" max="36" width="10.5703125" style="5" hidden="1" customWidth="1"/>
    <col min="37" max="37" width="10.7109375" style="5" hidden="1" customWidth="1"/>
    <col min="38" max="38" width="10.5703125" style="5" hidden="1" customWidth="1"/>
    <col min="39" max="40" width="9.140625" style="5" hidden="1" customWidth="1"/>
    <col min="41" max="41" width="10.85546875" style="5" hidden="1" customWidth="1"/>
    <col min="42" max="42" width="9.140625" style="5" customWidth="1"/>
    <col min="43" max="43" width="10.85546875" style="5" hidden="1" customWidth="1"/>
    <col min="44" max="44" width="10.7109375" style="5" hidden="1" customWidth="1"/>
    <col min="45" max="45" width="9.7109375" style="5" hidden="1" customWidth="1"/>
    <col min="46" max="46" width="11.42578125" style="5" hidden="1" customWidth="1"/>
    <col min="47" max="48" width="9.7109375" style="5" hidden="1" customWidth="1"/>
    <col min="49" max="50" width="10.7109375" style="5" hidden="1" customWidth="1"/>
    <col min="51" max="51" width="12.28515625" style="5" hidden="1" customWidth="1"/>
    <col min="52" max="52" width="13.42578125" style="5" hidden="1" customWidth="1"/>
    <col min="53" max="53" width="12.85546875" style="5" hidden="1" customWidth="1"/>
    <col min="54" max="55" width="11.7109375" style="5" hidden="1" customWidth="1"/>
    <col min="56" max="56" width="11.7109375" style="5" customWidth="1"/>
    <col min="57" max="58" width="11" style="5" customWidth="1"/>
    <col min="59" max="61" width="13.42578125" style="5" customWidth="1"/>
    <col min="62" max="62" width="9.7109375" style="5" bestFit="1" customWidth="1"/>
    <col min="63" max="63" width="10.7109375" style="5" bestFit="1" customWidth="1"/>
    <col min="64" max="64" width="9.140625" style="5"/>
    <col min="65" max="65" width="10.7109375" style="5" bestFit="1" customWidth="1"/>
    <col min="66" max="16384" width="9.140625" style="5"/>
  </cols>
  <sheetData>
    <row r="1" spans="1:63" ht="15.75" x14ac:dyDescent="0.25">
      <c r="A1" s="39" t="s">
        <v>27</v>
      </c>
      <c r="B1" s="39"/>
      <c r="AX1" s="72" t="s">
        <v>430</v>
      </c>
      <c r="AY1" s="22" t="s">
        <v>428</v>
      </c>
      <c r="AZ1" s="22" t="s">
        <v>429</v>
      </c>
      <c r="BA1" s="22"/>
    </row>
    <row r="2" spans="1:63" ht="15.75" x14ac:dyDescent="0.25">
      <c r="A2" s="39"/>
      <c r="B2" s="39"/>
    </row>
    <row r="3" spans="1:63" x14ac:dyDescent="0.2">
      <c r="N3" s="5" t="s">
        <v>150</v>
      </c>
      <c r="Q3" s="22" t="s">
        <v>81</v>
      </c>
      <c r="T3" s="5" t="s">
        <v>172</v>
      </c>
      <c r="AJ3" s="22"/>
      <c r="AK3" s="22"/>
      <c r="AL3" s="22"/>
      <c r="AM3" s="22"/>
      <c r="AN3" s="22" t="s">
        <v>79</v>
      </c>
      <c r="AO3" s="22"/>
      <c r="AP3" s="22"/>
      <c r="AQ3" s="22" t="s">
        <v>80</v>
      </c>
      <c r="AR3" s="22" t="s">
        <v>80</v>
      </c>
      <c r="AS3" s="22" t="s">
        <v>42</v>
      </c>
      <c r="AT3" s="22" t="s">
        <v>81</v>
      </c>
      <c r="AY3" s="22" t="s">
        <v>81</v>
      </c>
      <c r="AZ3" s="22"/>
      <c r="BA3" s="22"/>
      <c r="BB3" s="22" t="s">
        <v>80</v>
      </c>
      <c r="BC3" s="22"/>
      <c r="BD3" s="22" t="s">
        <v>81</v>
      </c>
      <c r="BE3" s="22"/>
      <c r="BF3" s="22"/>
      <c r="BG3" s="22" t="s">
        <v>80</v>
      </c>
      <c r="BH3" s="22"/>
      <c r="BI3" s="22" t="s">
        <v>81</v>
      </c>
      <c r="BJ3" s="22"/>
      <c r="BK3" s="22" t="s">
        <v>80</v>
      </c>
    </row>
    <row r="4" spans="1:63" ht="15.75" x14ac:dyDescent="0.25">
      <c r="A4" s="39" t="s">
        <v>39</v>
      </c>
      <c r="B4" s="39"/>
      <c r="E4" s="22">
        <v>39142</v>
      </c>
      <c r="F4" s="22" t="s">
        <v>124</v>
      </c>
      <c r="G4" s="22" t="s">
        <v>125</v>
      </c>
      <c r="H4" s="5" t="s">
        <v>94</v>
      </c>
      <c r="I4" s="5" t="s">
        <v>42</v>
      </c>
      <c r="J4" s="22">
        <v>39508</v>
      </c>
      <c r="K4" s="22" t="s">
        <v>42</v>
      </c>
      <c r="L4" s="51">
        <v>39508</v>
      </c>
      <c r="M4" s="5" t="s">
        <v>94</v>
      </c>
      <c r="N4" s="95" t="s">
        <v>151</v>
      </c>
      <c r="O4" s="22">
        <v>39873</v>
      </c>
      <c r="P4" s="22" t="s">
        <v>42</v>
      </c>
      <c r="Q4" s="89" t="s">
        <v>160</v>
      </c>
      <c r="R4" s="5" t="s">
        <v>94</v>
      </c>
      <c r="S4" s="5" t="s">
        <v>163</v>
      </c>
      <c r="T4" s="22">
        <v>40238</v>
      </c>
      <c r="U4" s="22" t="s">
        <v>163</v>
      </c>
      <c r="V4" s="14" t="s">
        <v>94</v>
      </c>
      <c r="W4" s="22">
        <v>40603</v>
      </c>
      <c r="X4" s="22"/>
      <c r="Y4" s="22" t="s">
        <v>163</v>
      </c>
      <c r="AA4" s="22" t="s">
        <v>182</v>
      </c>
      <c r="AB4" s="89">
        <v>40969</v>
      </c>
      <c r="AC4" s="22" t="s">
        <v>188</v>
      </c>
      <c r="AD4" s="89" t="s">
        <v>185</v>
      </c>
      <c r="AE4" s="89"/>
      <c r="AF4" s="89"/>
      <c r="AG4" s="89"/>
      <c r="AH4" s="89" t="s">
        <v>207</v>
      </c>
      <c r="AI4" s="72"/>
      <c r="AJ4" s="22" t="s">
        <v>216</v>
      </c>
      <c r="AK4" s="22" t="s">
        <v>2</v>
      </c>
      <c r="AL4" s="89" t="s">
        <v>199</v>
      </c>
      <c r="AM4" s="22"/>
      <c r="AN4" s="22" t="s">
        <v>217</v>
      </c>
      <c r="AO4" s="89" t="s">
        <v>219</v>
      </c>
      <c r="AP4" s="22"/>
      <c r="AQ4" s="22" t="s">
        <v>217</v>
      </c>
      <c r="AR4" s="89" t="s">
        <v>220</v>
      </c>
      <c r="AS4" s="22"/>
      <c r="AT4" s="89" t="s">
        <v>220</v>
      </c>
      <c r="AU4" s="22" t="s">
        <v>230</v>
      </c>
      <c r="AV4" s="22" t="s">
        <v>42</v>
      </c>
      <c r="AW4" s="89" t="s">
        <v>231</v>
      </c>
      <c r="AX4" s="89" t="s">
        <v>42</v>
      </c>
      <c r="AY4" s="89" t="s">
        <v>231</v>
      </c>
      <c r="AZ4" s="22" t="s">
        <v>230</v>
      </c>
      <c r="BA4" s="22" t="s">
        <v>163</v>
      </c>
      <c r="BB4" s="89" t="s">
        <v>238</v>
      </c>
      <c r="BC4" s="89"/>
      <c r="BD4" s="89" t="s">
        <v>238</v>
      </c>
      <c r="BE4" s="22" t="s">
        <v>230</v>
      </c>
      <c r="BF4" s="22" t="s">
        <v>163</v>
      </c>
      <c r="BG4" s="89" t="s">
        <v>397</v>
      </c>
      <c r="BH4" s="89" t="s">
        <v>488</v>
      </c>
      <c r="BI4" s="89" t="s">
        <v>397</v>
      </c>
      <c r="BJ4" s="22" t="s">
        <v>488</v>
      </c>
      <c r="BK4" s="89" t="s">
        <v>489</v>
      </c>
    </row>
    <row r="5" spans="1:63" x14ac:dyDescent="0.2">
      <c r="AB5" s="72" t="s">
        <v>190</v>
      </c>
      <c r="AC5" s="88"/>
      <c r="AD5" s="72" t="s">
        <v>80</v>
      </c>
      <c r="AE5" s="72" t="s">
        <v>163</v>
      </c>
      <c r="AF5" s="72" t="s">
        <v>189</v>
      </c>
      <c r="AG5" s="72" t="s">
        <v>42</v>
      </c>
      <c r="AH5" s="89"/>
      <c r="AJ5" s="22"/>
      <c r="AK5" s="22" t="s">
        <v>42</v>
      </c>
      <c r="AL5" s="89" t="s">
        <v>42</v>
      </c>
      <c r="AM5" s="89"/>
      <c r="AN5" s="22" t="s">
        <v>218</v>
      </c>
      <c r="AO5" s="89"/>
      <c r="AP5" s="89"/>
      <c r="AQ5" s="89" t="s">
        <v>218</v>
      </c>
      <c r="AR5" s="22"/>
      <c r="AU5" s="22" t="s">
        <v>218</v>
      </c>
      <c r="AV5" s="22"/>
      <c r="AW5" s="22"/>
      <c r="AX5" s="22"/>
      <c r="AY5" s="22"/>
      <c r="AZ5" s="22" t="s">
        <v>218</v>
      </c>
      <c r="BA5" s="22"/>
      <c r="BB5" s="22"/>
      <c r="BC5" s="22"/>
      <c r="BD5" s="22"/>
      <c r="BE5" s="22" t="s">
        <v>218</v>
      </c>
      <c r="BF5" s="22"/>
      <c r="BG5" s="22"/>
      <c r="BH5" s="22" t="s">
        <v>218</v>
      </c>
      <c r="BI5" s="22"/>
      <c r="BJ5" s="22" t="s">
        <v>218</v>
      </c>
      <c r="BK5" s="22"/>
    </row>
    <row r="6" spans="1:63" x14ac:dyDescent="0.2">
      <c r="A6" s="22" t="s">
        <v>30</v>
      </c>
    </row>
    <row r="7" spans="1:63" x14ac:dyDescent="0.2">
      <c r="AP7" s="10"/>
      <c r="AQ7" s="10"/>
    </row>
    <row r="8" spans="1:63" x14ac:dyDescent="0.2">
      <c r="A8" s="5" t="s">
        <v>31</v>
      </c>
      <c r="E8" s="5">
        <v>5830617</v>
      </c>
      <c r="F8" s="5">
        <f>-3222753</f>
        <v>-3222753</v>
      </c>
      <c r="G8" s="5">
        <v>3746000</v>
      </c>
      <c r="H8" s="5">
        <v>843036</v>
      </c>
      <c r="J8" s="5">
        <f>SUM(E8:I8)</f>
        <v>7196900</v>
      </c>
      <c r="K8" s="5">
        <f>-1498382</f>
        <v>-1498382</v>
      </c>
      <c r="L8" s="5">
        <f>SUM(J8:K8)</f>
        <v>5698518</v>
      </c>
      <c r="M8" s="5">
        <v>3471488</v>
      </c>
      <c r="N8" s="5">
        <f>-2463570-128000</f>
        <v>-2591570</v>
      </c>
      <c r="O8" s="5">
        <f>SUM(L8:N8)</f>
        <v>6578436</v>
      </c>
      <c r="P8" s="5">
        <v>281797</v>
      </c>
      <c r="Q8" s="5">
        <f>SUM(O8:P8)</f>
        <v>6860233</v>
      </c>
      <c r="R8" s="5">
        <v>5427517</v>
      </c>
      <c r="S8" s="5">
        <v>151345</v>
      </c>
      <c r="T8" s="5">
        <f>SUM(Q8:S8)</f>
        <v>12439095</v>
      </c>
      <c r="U8" s="5">
        <v>0</v>
      </c>
      <c r="V8" s="5">
        <v>2213120</v>
      </c>
      <c r="W8" s="5">
        <f>SUM(T8:V8)</f>
        <v>14652215</v>
      </c>
      <c r="X8" s="5">
        <v>115173</v>
      </c>
      <c r="Y8" s="5">
        <f>-500000-687000</f>
        <v>-1187000</v>
      </c>
      <c r="Z8" s="5">
        <v>3293915</v>
      </c>
      <c r="AA8" s="5">
        <v>2272466</v>
      </c>
      <c r="AB8" s="5">
        <f>SUM(W8:AA8)</f>
        <v>19146769</v>
      </c>
      <c r="AC8" s="5">
        <v>6744000</v>
      </c>
      <c r="AD8" s="5">
        <f>SUM(AB8:AC8)</f>
        <v>25890769</v>
      </c>
      <c r="AE8" s="5">
        <f>7100000-7964000</f>
        <v>-864000</v>
      </c>
      <c r="AF8" s="5">
        <f>SUM(AD8:AE8)</f>
        <v>25026769</v>
      </c>
      <c r="AG8" s="5">
        <v>122734</v>
      </c>
      <c r="AH8" s="5">
        <v>26409602</v>
      </c>
      <c r="AJ8" s="10">
        <v>0</v>
      </c>
      <c r="AK8" s="10">
        <v>0</v>
      </c>
      <c r="AL8" s="10">
        <f>SUM(AH8:AK8)</f>
        <v>26409602</v>
      </c>
      <c r="AN8" s="5">
        <v>323677</v>
      </c>
      <c r="AO8" s="5">
        <f>SUM(AL8:AN8)</f>
        <v>26733279</v>
      </c>
      <c r="AP8" s="10"/>
      <c r="AQ8" s="10">
        <v>1845750</v>
      </c>
      <c r="AR8" s="5">
        <f>SUM(AO8:AQ8)</f>
        <v>28579029</v>
      </c>
      <c r="AS8" s="5">
        <f>-263119</f>
        <v>-263119</v>
      </c>
      <c r="AT8" s="5">
        <f>SUM(AR8:AS8)</f>
        <v>28315910</v>
      </c>
      <c r="AU8" s="5">
        <v>643865</v>
      </c>
      <c r="AV8" s="5">
        <v>0</v>
      </c>
      <c r="AW8" s="5">
        <f>SUM(AT8:AV8)</f>
        <v>28959775</v>
      </c>
      <c r="AX8" s="5">
        <v>146304</v>
      </c>
      <c r="AY8" s="5">
        <f>SUM(AW8:AX8)</f>
        <v>29106079</v>
      </c>
      <c r="AZ8" s="5">
        <v>852000</v>
      </c>
      <c r="BA8" s="5">
        <f>-840000+88000</f>
        <v>-752000</v>
      </c>
      <c r="BB8" s="5">
        <f>SUM(AY8:BA8)</f>
        <v>29206079</v>
      </c>
      <c r="BC8" s="5">
        <v>36392</v>
      </c>
      <c r="BD8" s="5">
        <f>SUM(BB8:BC8)</f>
        <v>29242471</v>
      </c>
      <c r="BE8" s="5">
        <v>1494000</v>
      </c>
      <c r="BF8" s="5">
        <f>160517+540000</f>
        <v>700517</v>
      </c>
      <c r="BG8" s="5">
        <f>SUM(BD8:BF8)</f>
        <v>31436988</v>
      </c>
      <c r="BH8" s="5">
        <f>772348-2</f>
        <v>772346</v>
      </c>
      <c r="BI8" s="5">
        <f>SUM(BG8:BH8)</f>
        <v>32209334</v>
      </c>
      <c r="BJ8" s="5">
        <f>'Page 9'!Q13-'Page 9'!Q22-319552</f>
        <v>857314</v>
      </c>
      <c r="BK8" s="5">
        <f>SUM(BI8:BJ8)</f>
        <v>33066648</v>
      </c>
    </row>
    <row r="9" spans="1:63" x14ac:dyDescent="0.2">
      <c r="A9" s="5" t="s">
        <v>173</v>
      </c>
      <c r="Q9" s="5">
        <v>0</v>
      </c>
      <c r="R9" s="5">
        <v>0</v>
      </c>
      <c r="S9" s="5">
        <f>-63471</f>
        <v>-63471</v>
      </c>
      <c r="T9" s="5">
        <f>SUM(Q9:S9)</f>
        <v>-63471</v>
      </c>
      <c r="V9" s="5">
        <v>0</v>
      </c>
      <c r="W9" s="5">
        <f>SUM(T9:V9)</f>
        <v>-63471</v>
      </c>
      <c r="X9" s="5">
        <f>-90569</f>
        <v>-90569</v>
      </c>
      <c r="Z9" s="5">
        <f>-110740</f>
        <v>-110740</v>
      </c>
      <c r="AA9" s="5">
        <v>-220200</v>
      </c>
      <c r="AB9" s="5">
        <f t="shared" ref="AB9:AB36" si="0">SUM(W9:AA9)</f>
        <v>-484980</v>
      </c>
      <c r="AC9" s="5">
        <f>-322000</f>
        <v>-322000</v>
      </c>
      <c r="AD9" s="5">
        <f t="shared" ref="AD9:AD36" si="1">SUM(AB9:AC9)</f>
        <v>-806980</v>
      </c>
      <c r="AF9" s="5">
        <f t="shared" ref="AF9:AF40" si="2">SUM(AD9:AE9)</f>
        <v>-806980</v>
      </c>
      <c r="AG9" s="5">
        <f>55545+90</f>
        <v>55635</v>
      </c>
      <c r="AH9" s="6">
        <f>-1162109</f>
        <v>-1162109</v>
      </c>
      <c r="AJ9" s="6">
        <f>-1329869</f>
        <v>-1329869</v>
      </c>
      <c r="AK9" s="6">
        <v>0</v>
      </c>
      <c r="AL9" s="6">
        <f>SUM(AH9:AK9)</f>
        <v>-2491978</v>
      </c>
      <c r="AN9" s="6">
        <f>-725054</f>
        <v>-725054</v>
      </c>
      <c r="AO9" s="6">
        <f>SUM(AL9:AN9)</f>
        <v>-3217032</v>
      </c>
      <c r="AP9" s="10"/>
      <c r="AQ9" s="6">
        <f>-784368</f>
        <v>-784368</v>
      </c>
      <c r="AR9" s="6">
        <f>SUM(AO9:AQ9)</f>
        <v>-4001400</v>
      </c>
      <c r="AS9" s="6">
        <v>38357</v>
      </c>
      <c r="AT9" s="6">
        <f>SUM(AR9:AS9)</f>
        <v>-3963043</v>
      </c>
      <c r="AU9" s="6">
        <f>-797168</f>
        <v>-797168</v>
      </c>
      <c r="AV9" s="6">
        <v>0</v>
      </c>
      <c r="AW9" s="6">
        <f>SUM(AT9:AV9)</f>
        <v>-4760211</v>
      </c>
      <c r="AX9" s="6">
        <f>-1745</f>
        <v>-1745</v>
      </c>
      <c r="AY9" s="6">
        <f>SUM(AW9:AX9)</f>
        <v>-4761956</v>
      </c>
      <c r="AZ9" s="6">
        <f>-795325</f>
        <v>-795325</v>
      </c>
      <c r="BA9" s="6"/>
      <c r="BB9" s="6">
        <f>SUM(AY9:BA9)</f>
        <v>-5557281</v>
      </c>
      <c r="BC9" s="6">
        <v>33627</v>
      </c>
      <c r="BD9" s="6">
        <f>SUM(BB9:BC9)</f>
        <v>-5523654</v>
      </c>
      <c r="BE9" s="6">
        <f>-829936</f>
        <v>-829936</v>
      </c>
      <c r="BF9" s="6">
        <v>0</v>
      </c>
      <c r="BG9" s="6">
        <f>SUM(BD9:BF9)</f>
        <v>-6353590</v>
      </c>
      <c r="BH9" s="6">
        <v>78633</v>
      </c>
      <c r="BI9" s="6">
        <f>SUM(BG9:BH9)</f>
        <v>-6274957</v>
      </c>
      <c r="BJ9" s="6">
        <f>-'Page 5'!E24</f>
        <v>-965000</v>
      </c>
      <c r="BK9" s="6">
        <f>SUM(BI9:BJ9)</f>
        <v>-7239957</v>
      </c>
    </row>
    <row r="10" spans="1:63" x14ac:dyDescent="0.2">
      <c r="AH10" s="5">
        <f>SUM(AH8:AH9)</f>
        <v>25247493</v>
      </c>
      <c r="AJ10" s="5">
        <f>SUM(AJ8:AJ9)</f>
        <v>-1329869</v>
      </c>
      <c r="AK10" s="5">
        <f t="shared" ref="AK10:AL10" si="3">SUM(AK8:AK9)</f>
        <v>0</v>
      </c>
      <c r="AL10" s="5">
        <f t="shared" si="3"/>
        <v>23917624</v>
      </c>
      <c r="AN10" s="5">
        <f>SUM(AN8:AN9)</f>
        <v>-401377</v>
      </c>
      <c r="AO10" s="5">
        <f t="shared" ref="AO10" si="4">SUM(AO8:AO9)</f>
        <v>23516247</v>
      </c>
      <c r="AP10" s="10"/>
      <c r="AQ10" s="10">
        <f t="shared" ref="AQ10:AY10" si="5">SUM(AQ8:AQ9)</f>
        <v>1061382</v>
      </c>
      <c r="AR10" s="10">
        <f t="shared" si="5"/>
        <v>24577629</v>
      </c>
      <c r="AS10" s="5">
        <f t="shared" si="5"/>
        <v>-224762</v>
      </c>
      <c r="AT10" s="5">
        <f t="shared" si="5"/>
        <v>24352867</v>
      </c>
      <c r="AU10" s="5">
        <f t="shared" si="5"/>
        <v>-153303</v>
      </c>
      <c r="AV10" s="5">
        <f>SUM(AV8:AV9)</f>
        <v>0</v>
      </c>
      <c r="AW10" s="5">
        <f t="shared" si="5"/>
        <v>24199564</v>
      </c>
      <c r="AX10" s="5">
        <f t="shared" si="5"/>
        <v>144559</v>
      </c>
      <c r="AY10" s="5">
        <f t="shared" si="5"/>
        <v>24344123</v>
      </c>
      <c r="AZ10" s="5">
        <f>SUM(AZ8:AZ9)</f>
        <v>56675</v>
      </c>
      <c r="BA10" s="5">
        <f>SUM(BA8:BA9)</f>
        <v>-752000</v>
      </c>
      <c r="BB10" s="5">
        <f>SUM(BB8:BB9)</f>
        <v>23648798</v>
      </c>
      <c r="BC10" s="5">
        <f t="shared" ref="BC10:BD10" si="6">SUM(BC8:BC9)</f>
        <v>70019</v>
      </c>
      <c r="BD10" s="5">
        <f t="shared" si="6"/>
        <v>23718817</v>
      </c>
      <c r="BE10" s="5">
        <f t="shared" ref="BE10:BK10" si="7">SUM(BE8:BE9)</f>
        <v>664064</v>
      </c>
      <c r="BF10" s="5">
        <f t="shared" si="7"/>
        <v>700517</v>
      </c>
      <c r="BG10" s="5">
        <f t="shared" si="7"/>
        <v>25083398</v>
      </c>
      <c r="BH10" s="5">
        <f t="shared" si="7"/>
        <v>850979</v>
      </c>
      <c r="BI10" s="5">
        <f t="shared" si="7"/>
        <v>25934377</v>
      </c>
      <c r="BJ10" s="5">
        <f t="shared" si="7"/>
        <v>-107686</v>
      </c>
      <c r="BK10" s="5">
        <f t="shared" si="7"/>
        <v>25826691</v>
      </c>
    </row>
    <row r="11" spans="1:63" x14ac:dyDescent="0.2">
      <c r="U11" s="5">
        <v>0</v>
      </c>
      <c r="AF11" s="5">
        <f t="shared" si="2"/>
        <v>0</v>
      </c>
      <c r="AP11" s="10"/>
      <c r="AQ11" s="10"/>
    </row>
    <row r="12" spans="1:63" x14ac:dyDescent="0.2">
      <c r="A12" s="72" t="s">
        <v>208</v>
      </c>
      <c r="E12" s="5">
        <f>-5830617</f>
        <v>-5830617</v>
      </c>
      <c r="F12" s="5">
        <f>3237355</f>
        <v>3237355</v>
      </c>
      <c r="G12" s="5">
        <f>-3746000</f>
        <v>-3746000</v>
      </c>
      <c r="H12" s="5">
        <f>-843036</f>
        <v>-843036</v>
      </c>
      <c r="J12" s="5">
        <f>SUM(E12:I12)</f>
        <v>-7182298</v>
      </c>
      <c r="K12" s="5">
        <f>1504570</f>
        <v>1504570</v>
      </c>
      <c r="L12" s="5">
        <f>SUM(J12:K12)</f>
        <v>-5677728</v>
      </c>
      <c r="M12" s="5">
        <f>-946685</f>
        <v>-946685</v>
      </c>
      <c r="O12" s="5">
        <f>SUM(L12:N12)</f>
        <v>-6624413</v>
      </c>
      <c r="P12" s="5">
        <v>131785</v>
      </c>
      <c r="Q12" s="5">
        <f>SUM(O12:P12)</f>
        <v>-6492628</v>
      </c>
      <c r="R12" s="5">
        <f>-2966300</f>
        <v>-2966300</v>
      </c>
      <c r="S12" s="5">
        <v>388669</v>
      </c>
      <c r="T12" s="5">
        <f>SUM(Q12:S12)</f>
        <v>-9070259</v>
      </c>
      <c r="U12" s="5">
        <v>0</v>
      </c>
      <c r="V12" s="5">
        <f>-102000</f>
        <v>-102000</v>
      </c>
      <c r="W12" s="5">
        <f>SUM(T12:V12)</f>
        <v>-9172259</v>
      </c>
      <c r="X12" s="5">
        <f>-645935-452743</f>
        <v>-1098678</v>
      </c>
      <c r="Y12" s="5">
        <f>-500000</f>
        <v>-500000</v>
      </c>
      <c r="Z12" s="5">
        <f>-1000000</f>
        <v>-1000000</v>
      </c>
      <c r="AA12" s="5">
        <v>-268310</v>
      </c>
      <c r="AB12" s="5">
        <f t="shared" si="0"/>
        <v>-12039247</v>
      </c>
      <c r="AC12" s="5">
        <v>-1300000</v>
      </c>
      <c r="AD12" s="5">
        <f t="shared" si="1"/>
        <v>-13339247</v>
      </c>
      <c r="AE12" s="5">
        <f>-603000</f>
        <v>-603000</v>
      </c>
      <c r="AF12" s="5">
        <f t="shared" si="2"/>
        <v>-13942247</v>
      </c>
      <c r="AG12" s="5">
        <v>-32906</v>
      </c>
      <c r="AH12" s="5">
        <f>-13639937</f>
        <v>-13639937</v>
      </c>
      <c r="AJ12" s="5">
        <v>0</v>
      </c>
      <c r="AK12" s="5">
        <v>13639937</v>
      </c>
      <c r="AL12" s="5">
        <f>SUM(AH12:AK12)</f>
        <v>0</v>
      </c>
      <c r="AN12" s="5">
        <v>0</v>
      </c>
      <c r="AO12" s="5">
        <f>SUM(AL12:AN12)</f>
        <v>0</v>
      </c>
      <c r="AP12" s="10"/>
      <c r="AQ12" s="10">
        <v>0</v>
      </c>
      <c r="AR12" s="5">
        <f>SUM(AO12:AQ12)</f>
        <v>0</v>
      </c>
      <c r="AS12" s="5">
        <v>0</v>
      </c>
      <c r="AT12" s="5">
        <f>SUM(AR12:AS12)</f>
        <v>0</v>
      </c>
      <c r="AU12" s="5">
        <v>0</v>
      </c>
      <c r="AV12" s="5">
        <v>0</v>
      </c>
      <c r="AW12" s="5">
        <f>SUM(AT12:AV12)</f>
        <v>0</v>
      </c>
      <c r="AX12" s="5">
        <v>0</v>
      </c>
      <c r="AY12" s="5">
        <f>SUM(AW12:AX12)</f>
        <v>0</v>
      </c>
      <c r="AZ12" s="5">
        <v>0</v>
      </c>
      <c r="BA12" s="5">
        <v>0</v>
      </c>
      <c r="BB12" s="5">
        <f>SUM(AY12:AZ12)</f>
        <v>0</v>
      </c>
      <c r="BC12" s="5">
        <v>0</v>
      </c>
      <c r="BD12" s="5">
        <v>0</v>
      </c>
      <c r="BE12" s="5">
        <v>0</v>
      </c>
      <c r="BF12" s="5">
        <v>0</v>
      </c>
      <c r="BG12" s="5">
        <f>SUM(BD12:BF12)</f>
        <v>0</v>
      </c>
      <c r="BH12" s="5">
        <v>0</v>
      </c>
      <c r="BI12" s="5">
        <f>SUM(BG12:BH12)</f>
        <v>0</v>
      </c>
      <c r="BJ12" s="5">
        <v>0</v>
      </c>
      <c r="BK12" s="5">
        <v>0</v>
      </c>
    </row>
    <row r="13" spans="1:63" x14ac:dyDescent="0.2">
      <c r="A13" s="72" t="s">
        <v>209</v>
      </c>
      <c r="AH13" s="6">
        <f>-549362</f>
        <v>-549362</v>
      </c>
      <c r="AJ13" s="5">
        <v>0</v>
      </c>
      <c r="AK13" s="5">
        <v>549362</v>
      </c>
      <c r="AL13" s="5">
        <f>SUM(AH13:AK13)</f>
        <v>0</v>
      </c>
      <c r="AN13" s="5">
        <v>0</v>
      </c>
      <c r="AO13" s="5">
        <f>SUM(AL13:AN13)</f>
        <v>0</v>
      </c>
      <c r="AP13" s="10"/>
      <c r="AQ13" s="10">
        <v>0</v>
      </c>
      <c r="AR13" s="5">
        <f>SUM(AO13:AQ13)</f>
        <v>0</v>
      </c>
      <c r="AS13" s="5">
        <v>0</v>
      </c>
      <c r="AT13" s="5">
        <f>SUM(AR13:AS13)</f>
        <v>0</v>
      </c>
      <c r="AU13" s="5">
        <v>0</v>
      </c>
      <c r="AV13" s="5">
        <v>0</v>
      </c>
      <c r="AW13" s="5">
        <f>SUM(AT13:AV13)</f>
        <v>0</v>
      </c>
      <c r="AX13" s="5">
        <v>0</v>
      </c>
      <c r="AY13" s="5">
        <f>SUM(AW13:AX13)</f>
        <v>0</v>
      </c>
      <c r="AZ13" s="5">
        <v>0</v>
      </c>
      <c r="BA13" s="5">
        <v>0</v>
      </c>
      <c r="BB13" s="5">
        <f>SUM(AY13:AZ13)</f>
        <v>0</v>
      </c>
      <c r="BC13" s="5">
        <v>0</v>
      </c>
      <c r="BD13" s="5">
        <v>0</v>
      </c>
      <c r="BE13" s="5">
        <v>0</v>
      </c>
      <c r="BF13" s="5">
        <v>0</v>
      </c>
      <c r="BG13" s="5">
        <f>SUM(BD13:BF13)</f>
        <v>0</v>
      </c>
      <c r="BH13" s="5">
        <v>0</v>
      </c>
      <c r="BI13" s="5">
        <f>SUM(BG13:BH13)</f>
        <v>0</v>
      </c>
      <c r="BJ13" s="5">
        <v>0</v>
      </c>
      <c r="BK13" s="5">
        <v>0</v>
      </c>
    </row>
    <row r="14" spans="1:63" ht="13.5" thickBot="1" x14ac:dyDescent="0.25">
      <c r="A14" s="72"/>
      <c r="AH14" s="98">
        <f>SUM(AH10:AH13)</f>
        <v>11058194</v>
      </c>
      <c r="AJ14" s="98">
        <f>SUM(AJ10:AJ13)</f>
        <v>-1329869</v>
      </c>
      <c r="AK14" s="98">
        <f t="shared" ref="AK14:AL14" si="8">SUM(AK10:AK13)</f>
        <v>14189299</v>
      </c>
      <c r="AL14" s="98">
        <f t="shared" si="8"/>
        <v>23917624</v>
      </c>
      <c r="AN14" s="98">
        <f>SUM(AN10:AN13)</f>
        <v>-401377</v>
      </c>
      <c r="AO14" s="98">
        <f t="shared" ref="AO14" si="9">SUM(AO10:AO13)</f>
        <v>23516247</v>
      </c>
      <c r="AP14" s="10"/>
      <c r="AQ14" s="98">
        <f t="shared" ref="AQ14:BK14" si="10">SUM(AQ10:AQ13)</f>
        <v>1061382</v>
      </c>
      <c r="AR14" s="98">
        <f t="shared" si="10"/>
        <v>24577629</v>
      </c>
      <c r="AS14" s="98">
        <f t="shared" si="10"/>
        <v>-224762</v>
      </c>
      <c r="AT14" s="98">
        <f t="shared" si="10"/>
        <v>24352867</v>
      </c>
      <c r="AU14" s="98">
        <f t="shared" si="10"/>
        <v>-153303</v>
      </c>
      <c r="AV14" s="98">
        <f>SUM(AV12:AV13)</f>
        <v>0</v>
      </c>
      <c r="AW14" s="98">
        <f t="shared" si="10"/>
        <v>24199564</v>
      </c>
      <c r="AX14" s="98">
        <f>SUM(AX10:AX13)</f>
        <v>144559</v>
      </c>
      <c r="AY14" s="98">
        <f>SUM(AY10:AY13)</f>
        <v>24344123</v>
      </c>
      <c r="AZ14" s="98">
        <f t="shared" si="10"/>
        <v>56675</v>
      </c>
      <c r="BA14" s="98">
        <f t="shared" si="10"/>
        <v>-752000</v>
      </c>
      <c r="BB14" s="98">
        <f t="shared" si="10"/>
        <v>23648798</v>
      </c>
      <c r="BC14" s="98">
        <f t="shared" si="10"/>
        <v>70019</v>
      </c>
      <c r="BD14" s="98">
        <f t="shared" si="10"/>
        <v>23718817</v>
      </c>
      <c r="BE14" s="98">
        <f t="shared" si="10"/>
        <v>664064</v>
      </c>
      <c r="BF14" s="98">
        <f>SUM(BF10:BF13)</f>
        <v>700517</v>
      </c>
      <c r="BG14" s="98">
        <f t="shared" si="10"/>
        <v>25083398</v>
      </c>
      <c r="BH14" s="98">
        <f>SUM(BH10:BH13)</f>
        <v>850979</v>
      </c>
      <c r="BI14" s="98">
        <f>SUM(BI10:BI13)</f>
        <v>25934377</v>
      </c>
      <c r="BJ14" s="98">
        <f t="shared" si="10"/>
        <v>-107686</v>
      </c>
      <c r="BK14" s="98">
        <f t="shared" si="10"/>
        <v>25826691</v>
      </c>
    </row>
    <row r="15" spans="1:63" x14ac:dyDescent="0.2">
      <c r="AP15" s="10"/>
      <c r="AQ15" s="10"/>
    </row>
    <row r="16" spans="1:63" x14ac:dyDescent="0.2">
      <c r="A16" s="5" t="s">
        <v>32</v>
      </c>
      <c r="E16" s="5">
        <v>25059</v>
      </c>
      <c r="F16" s="5">
        <v>7494</v>
      </c>
      <c r="H16" s="5">
        <v>1200</v>
      </c>
      <c r="M16" s="5">
        <v>3600</v>
      </c>
      <c r="P16" s="5">
        <v>437027</v>
      </c>
      <c r="Q16" s="5">
        <f>SUM(O16:P16)</f>
        <v>437027</v>
      </c>
      <c r="R16" s="5">
        <v>344000</v>
      </c>
      <c r="S16" s="5">
        <f>-295592</f>
        <v>-295592</v>
      </c>
      <c r="T16" s="5">
        <f>SUM(Q16:S16)</f>
        <v>485435</v>
      </c>
      <c r="U16" s="5">
        <v>0</v>
      </c>
      <c r="V16" s="5">
        <v>207000</v>
      </c>
      <c r="W16" s="5">
        <f>SUM(T16:V16)</f>
        <v>692435</v>
      </c>
      <c r="X16" s="5">
        <f>-249310</f>
        <v>-249310</v>
      </c>
      <c r="Z16" s="5">
        <v>1200</v>
      </c>
      <c r="AA16" s="5">
        <v>4472</v>
      </c>
      <c r="AB16" s="5">
        <f t="shared" si="0"/>
        <v>448797</v>
      </c>
      <c r="AC16" s="5">
        <v>5000</v>
      </c>
      <c r="AD16" s="5">
        <f t="shared" si="1"/>
        <v>453797</v>
      </c>
      <c r="AF16" s="5">
        <f t="shared" si="2"/>
        <v>453797</v>
      </c>
      <c r="AG16" s="5">
        <v>9600</v>
      </c>
      <c r="AH16" s="5">
        <f>478305</f>
        <v>478305</v>
      </c>
      <c r="AJ16" s="5">
        <v>0</v>
      </c>
      <c r="AK16" s="5">
        <v>0</v>
      </c>
      <c r="AL16" s="5">
        <f>SUM(AH16:AK16)</f>
        <v>478305</v>
      </c>
      <c r="AN16" s="5">
        <v>229123</v>
      </c>
      <c r="AO16" s="5">
        <f>SUM(AL16:AN16)</f>
        <v>707428</v>
      </c>
      <c r="AP16" s="10"/>
      <c r="AQ16" s="10">
        <v>474863</v>
      </c>
      <c r="AR16" s="5">
        <f>SUM(AO16:AQ16)</f>
        <v>1182291</v>
      </c>
      <c r="AS16" s="5">
        <v>239492</v>
      </c>
      <c r="AT16" s="5">
        <f>SUM(AR16:AS16)</f>
        <v>1421783</v>
      </c>
      <c r="AU16" s="5">
        <v>30000</v>
      </c>
      <c r="AV16" s="5">
        <f>-18000</f>
        <v>-18000</v>
      </c>
      <c r="AW16" s="5">
        <f>SUM(AT16:AV16)</f>
        <v>1433783</v>
      </c>
      <c r="AX16" s="5">
        <v>3067</v>
      </c>
      <c r="AY16" s="5">
        <f>SUM(AW16:AX16)</f>
        <v>1436850</v>
      </c>
      <c r="AZ16" s="5">
        <v>35000</v>
      </c>
      <c r="BA16" s="5">
        <v>0</v>
      </c>
      <c r="BB16" s="5">
        <f>SUM(AY16:BA16)</f>
        <v>1471850</v>
      </c>
      <c r="BC16" s="5">
        <f>-38657</f>
        <v>-38657</v>
      </c>
      <c r="BD16" s="5">
        <f>SUM(BB16:BC16)</f>
        <v>1433193</v>
      </c>
      <c r="BE16" s="5">
        <v>45000</v>
      </c>
      <c r="BF16" s="5">
        <v>0</v>
      </c>
      <c r="BG16" s="5">
        <f>SUM(BD16:BF16)</f>
        <v>1478193</v>
      </c>
      <c r="BH16" s="5">
        <f>-22327</f>
        <v>-22327</v>
      </c>
      <c r="BI16" s="5">
        <f>SUM(BG16:BH16)</f>
        <v>1455866</v>
      </c>
      <c r="BJ16" s="5">
        <f>'Page 10'!P29</f>
        <v>35000</v>
      </c>
      <c r="BK16" s="5">
        <f>SUM(BI16:BJ16)</f>
        <v>1490866</v>
      </c>
    </row>
    <row r="17" spans="1:63" x14ac:dyDescent="0.2">
      <c r="A17" s="14" t="s">
        <v>159</v>
      </c>
      <c r="P17" s="5">
        <f>-291329</f>
        <v>-291329</v>
      </c>
      <c r="Q17" s="5">
        <f>SUM(O17:P17)</f>
        <v>-291329</v>
      </c>
      <c r="R17" s="5">
        <v>0</v>
      </c>
      <c r="S17" s="5">
        <f>-15070</f>
        <v>-15070</v>
      </c>
      <c r="T17" s="5">
        <f>SUM(Q17:S17)</f>
        <v>-306399</v>
      </c>
      <c r="U17" s="5">
        <v>0</v>
      </c>
      <c r="V17" s="5">
        <v>0</v>
      </c>
      <c r="W17" s="5">
        <f>SUM(T17:V17)</f>
        <v>-306399</v>
      </c>
      <c r="X17" s="5">
        <f>33877</f>
        <v>33877</v>
      </c>
      <c r="AA17" s="5">
        <v>0</v>
      </c>
      <c r="AB17" s="5">
        <f t="shared" si="0"/>
        <v>-272522</v>
      </c>
      <c r="AD17" s="5">
        <f t="shared" si="1"/>
        <v>-272522</v>
      </c>
      <c r="AF17" s="5">
        <f t="shared" si="2"/>
        <v>-272522</v>
      </c>
      <c r="AG17" s="5">
        <f>22275</f>
        <v>22275</v>
      </c>
      <c r="AH17" s="5">
        <f>-250247</f>
        <v>-250247</v>
      </c>
      <c r="AJ17" s="5">
        <v>0</v>
      </c>
      <c r="AK17" s="5">
        <v>250247</v>
      </c>
      <c r="AL17" s="5">
        <f t="shared" ref="AL17:AL18" si="11">SUM(AH17:AK17)</f>
        <v>0</v>
      </c>
      <c r="AN17" s="5">
        <v>0</v>
      </c>
      <c r="AO17" s="5">
        <f t="shared" ref="AO17:AO18" si="12">SUM(AL17:AN17)</f>
        <v>0</v>
      </c>
      <c r="AP17" s="10"/>
      <c r="AQ17" s="10">
        <v>0</v>
      </c>
      <c r="AR17" s="5">
        <f t="shared" ref="AR17:AR18" si="13">SUM(AO17:AQ17)</f>
        <v>0</v>
      </c>
      <c r="AS17" s="5">
        <v>0</v>
      </c>
      <c r="AT17" s="5">
        <f t="shared" ref="AT17:AT18" si="14">SUM(AR17:AS17)</f>
        <v>0</v>
      </c>
      <c r="AU17" s="5">
        <v>0</v>
      </c>
      <c r="AV17" s="5">
        <v>0</v>
      </c>
      <c r="AW17" s="5">
        <f t="shared" ref="AW17:AW18" si="15">SUM(AT17:AV17)</f>
        <v>0</v>
      </c>
      <c r="AX17" s="5">
        <v>0</v>
      </c>
      <c r="AY17" s="5">
        <f t="shared" ref="AY17:AY18" si="16">SUM(AW17:AX17)</f>
        <v>0</v>
      </c>
      <c r="AZ17" s="5">
        <v>0</v>
      </c>
      <c r="BA17" s="5">
        <v>0</v>
      </c>
      <c r="BB17" s="5">
        <f t="shared" ref="BB17:BB18" si="17">SUM(AY17:BA17)</f>
        <v>0</v>
      </c>
      <c r="BC17" s="5">
        <v>0</v>
      </c>
      <c r="BD17" s="5">
        <f t="shared" ref="BD17:BD18" si="18">SUM(BB17:BC17)</f>
        <v>0</v>
      </c>
      <c r="BE17" s="5">
        <v>0</v>
      </c>
      <c r="BF17" s="5">
        <v>0</v>
      </c>
      <c r="BG17" s="5">
        <f t="shared" ref="BG17:BG18" si="19">SUM(BD17:BF17)</f>
        <v>0</v>
      </c>
      <c r="BH17" s="5">
        <v>0</v>
      </c>
      <c r="BI17" s="5">
        <f t="shared" ref="BI17:BI18" si="20">SUM(BG17:BH17)</f>
        <v>0</v>
      </c>
      <c r="BJ17" s="5">
        <v>0</v>
      </c>
      <c r="BK17" s="5">
        <f t="shared" ref="BK17:BK18" si="21">SUM(BI17:BJ17)</f>
        <v>0</v>
      </c>
    </row>
    <row r="18" spans="1:63" x14ac:dyDescent="0.2">
      <c r="A18" s="5" t="s">
        <v>91</v>
      </c>
      <c r="H18" s="5">
        <f>-7100</f>
        <v>-7100</v>
      </c>
      <c r="J18" s="5">
        <f>SUM(E16:I18)</f>
        <v>26653</v>
      </c>
      <c r="K18" s="5">
        <v>2630</v>
      </c>
      <c r="L18" s="5">
        <f>SUM(J18:K18)</f>
        <v>29283</v>
      </c>
      <c r="M18" s="5">
        <f>-7308</f>
        <v>-7308</v>
      </c>
      <c r="O18" s="5">
        <f>SUM(L16:M18)</f>
        <v>25575</v>
      </c>
      <c r="P18" s="5">
        <f>-140652</f>
        <v>-140652</v>
      </c>
      <c r="Q18" s="5">
        <f>SUM(O18:P18)</f>
        <v>-115077</v>
      </c>
      <c r="R18" s="5">
        <f>-50618</f>
        <v>-50618</v>
      </c>
      <c r="S18" s="5">
        <v>29940</v>
      </c>
      <c r="T18" s="5">
        <f>SUM(Q18:S18)</f>
        <v>-135755</v>
      </c>
      <c r="U18" s="5">
        <v>0</v>
      </c>
      <c r="V18" s="5">
        <f>-40000</f>
        <v>-40000</v>
      </c>
      <c r="W18" s="5">
        <f>SUM(T18:V18)</f>
        <v>-175755</v>
      </c>
      <c r="X18" s="5">
        <v>38789</v>
      </c>
      <c r="Y18" s="5">
        <v>20000</v>
      </c>
      <c r="Z18" s="5">
        <f>-36300</f>
        <v>-36300</v>
      </c>
      <c r="AA18" s="5">
        <v>-267</v>
      </c>
      <c r="AB18" s="5">
        <f t="shared" si="0"/>
        <v>-153533</v>
      </c>
      <c r="AC18" s="5">
        <v>-8500</v>
      </c>
      <c r="AD18" s="5">
        <f t="shared" si="1"/>
        <v>-162033</v>
      </c>
      <c r="AF18" s="5">
        <f t="shared" si="2"/>
        <v>-162033</v>
      </c>
      <c r="AG18" s="5">
        <f>-8466</f>
        <v>-8466</v>
      </c>
      <c r="AH18" s="5">
        <f>-194469</f>
        <v>-194469</v>
      </c>
      <c r="AJ18" s="5">
        <f>-244739</f>
        <v>-244739</v>
      </c>
      <c r="AK18" s="5">
        <v>0</v>
      </c>
      <c r="AL18" s="5">
        <f t="shared" si="11"/>
        <v>-439208</v>
      </c>
      <c r="AN18" s="5">
        <f>-24974</f>
        <v>-24974</v>
      </c>
      <c r="AO18" s="5">
        <f t="shared" si="12"/>
        <v>-464182</v>
      </c>
      <c r="AP18" s="10"/>
      <c r="AQ18" s="10">
        <v>210680</v>
      </c>
      <c r="AR18" s="5">
        <f t="shared" si="13"/>
        <v>-253502</v>
      </c>
      <c r="AS18" s="5">
        <f>-5666</f>
        <v>-5666</v>
      </c>
      <c r="AT18" s="5">
        <f t="shared" si="14"/>
        <v>-259168</v>
      </c>
      <c r="AU18" s="5">
        <f>-54455</f>
        <v>-54455</v>
      </c>
      <c r="AV18" s="5">
        <f>6000-60</f>
        <v>5940</v>
      </c>
      <c r="AW18" s="5">
        <f t="shared" si="15"/>
        <v>-307683</v>
      </c>
      <c r="AX18" s="5">
        <f>-1990</f>
        <v>-1990</v>
      </c>
      <c r="AY18" s="5">
        <f t="shared" si="16"/>
        <v>-309673</v>
      </c>
      <c r="AZ18" s="5">
        <f>-75700</f>
        <v>-75700</v>
      </c>
      <c r="BA18" s="5">
        <v>0</v>
      </c>
      <c r="BB18" s="5">
        <f t="shared" si="17"/>
        <v>-385373</v>
      </c>
      <c r="BC18" s="5">
        <v>14413</v>
      </c>
      <c r="BD18" s="5">
        <f t="shared" si="18"/>
        <v>-370960</v>
      </c>
      <c r="BE18" s="5">
        <f>-54200</f>
        <v>-54200</v>
      </c>
      <c r="BF18" s="5">
        <v>0</v>
      </c>
      <c r="BG18" s="5">
        <f t="shared" si="19"/>
        <v>-425160</v>
      </c>
      <c r="BH18" s="5">
        <v>9005</v>
      </c>
      <c r="BI18" s="5">
        <f t="shared" si="20"/>
        <v>-416155</v>
      </c>
      <c r="BJ18" s="5">
        <f>-'Page 5'!E31</f>
        <v>-29700</v>
      </c>
      <c r="BK18" s="5">
        <f t="shared" si="21"/>
        <v>-445855</v>
      </c>
    </row>
    <row r="19" spans="1:63" ht="13.5" thickBot="1" x14ac:dyDescent="0.25">
      <c r="AH19" s="98">
        <f>SUM(AH16:AH18)</f>
        <v>33589</v>
      </c>
      <c r="AJ19" s="98">
        <f>SUM(AJ16:AJ18)</f>
        <v>-244739</v>
      </c>
      <c r="AK19" s="98">
        <f t="shared" ref="AK19:AL19" si="22">SUM(AK16:AK18)</f>
        <v>250247</v>
      </c>
      <c r="AL19" s="98">
        <f t="shared" si="22"/>
        <v>39097</v>
      </c>
      <c r="AN19" s="98">
        <f>SUM(AN16:AN18)</f>
        <v>204149</v>
      </c>
      <c r="AO19" s="98">
        <f>SUM(AO16:AO18)</f>
        <v>243246</v>
      </c>
      <c r="AP19" s="10"/>
      <c r="AQ19" s="98">
        <f t="shared" ref="AQ19:BK19" si="23">SUM(AQ16:AQ18)</f>
        <v>685543</v>
      </c>
      <c r="AR19" s="98">
        <f t="shared" si="23"/>
        <v>928789</v>
      </c>
      <c r="AS19" s="98">
        <f t="shared" si="23"/>
        <v>233826</v>
      </c>
      <c r="AT19" s="98">
        <f t="shared" si="23"/>
        <v>1162615</v>
      </c>
      <c r="AU19" s="98">
        <f t="shared" si="23"/>
        <v>-24455</v>
      </c>
      <c r="AV19" s="98">
        <f>SUM(AV16:AV18)</f>
        <v>-12060</v>
      </c>
      <c r="AW19" s="98">
        <f t="shared" si="23"/>
        <v>1126100</v>
      </c>
      <c r="AX19" s="98">
        <f t="shared" si="23"/>
        <v>1077</v>
      </c>
      <c r="AY19" s="98">
        <f t="shared" si="23"/>
        <v>1127177</v>
      </c>
      <c r="AZ19" s="98">
        <f t="shared" si="23"/>
        <v>-40700</v>
      </c>
      <c r="BA19" s="98">
        <f t="shared" si="23"/>
        <v>0</v>
      </c>
      <c r="BB19" s="98">
        <f t="shared" si="23"/>
        <v>1086477</v>
      </c>
      <c r="BC19" s="98">
        <f t="shared" si="23"/>
        <v>-24244</v>
      </c>
      <c r="BD19" s="98">
        <f t="shared" si="23"/>
        <v>1062233</v>
      </c>
      <c r="BE19" s="98">
        <f t="shared" si="23"/>
        <v>-9200</v>
      </c>
      <c r="BF19" s="98">
        <f>SUM(BF16:BF18)</f>
        <v>0</v>
      </c>
      <c r="BG19" s="98">
        <f t="shared" si="23"/>
        <v>1053033</v>
      </c>
      <c r="BH19" s="98">
        <f>SUM(BH16:BH18)</f>
        <v>-13322</v>
      </c>
      <c r="BI19" s="98">
        <f>SUM(BI16:BI18)</f>
        <v>1039711</v>
      </c>
      <c r="BJ19" s="98">
        <f t="shared" si="23"/>
        <v>5300</v>
      </c>
      <c r="BK19" s="98">
        <f t="shared" si="23"/>
        <v>1045011</v>
      </c>
    </row>
    <row r="20" spans="1:63" x14ac:dyDescent="0.2">
      <c r="AP20" s="10"/>
      <c r="AQ20" s="10"/>
    </row>
    <row r="21" spans="1:63" x14ac:dyDescent="0.2">
      <c r="A21" s="22" t="s">
        <v>33</v>
      </c>
      <c r="AP21" s="10"/>
      <c r="AQ21" s="10"/>
    </row>
    <row r="22" spans="1:63" x14ac:dyDescent="0.2">
      <c r="A22" s="5" t="s">
        <v>34</v>
      </c>
      <c r="E22" s="5">
        <v>157000</v>
      </c>
      <c r="F22" s="5">
        <v>549858</v>
      </c>
      <c r="H22" s="5">
        <f>-20000</f>
        <v>-20000</v>
      </c>
      <c r="J22" s="5">
        <f>SUM(E22:I22)</f>
        <v>686858</v>
      </c>
      <c r="K22" s="5">
        <f>-154708</f>
        <v>-154708</v>
      </c>
      <c r="L22" s="5">
        <f>SUM(J22:K22)</f>
        <v>532150</v>
      </c>
      <c r="M22" s="5">
        <f>-503000</f>
        <v>-503000</v>
      </c>
      <c r="O22" s="5">
        <f>SUM(L22:N22)</f>
        <v>29150</v>
      </c>
      <c r="P22" s="5">
        <v>754364</v>
      </c>
      <c r="Q22" s="5">
        <f>SUM(O22:P22)</f>
        <v>783514</v>
      </c>
      <c r="R22" s="5">
        <f>-40000</f>
        <v>-40000</v>
      </c>
      <c r="S22" s="5">
        <f>-637190</f>
        <v>-637190</v>
      </c>
      <c r="T22" s="5">
        <f>SUM(Q22:S22)</f>
        <v>106324</v>
      </c>
      <c r="U22" s="5">
        <v>0</v>
      </c>
      <c r="V22" s="5">
        <f>-25000</f>
        <v>-25000</v>
      </c>
      <c r="W22" s="5">
        <f>SUM(T22:V22)</f>
        <v>81324</v>
      </c>
      <c r="X22" s="5">
        <v>193326</v>
      </c>
      <c r="Z22" s="5">
        <f>-25000</f>
        <v>-25000</v>
      </c>
      <c r="AA22" s="5">
        <v>7328</v>
      </c>
      <c r="AB22" s="5">
        <f t="shared" si="0"/>
        <v>256978</v>
      </c>
      <c r="AC22" s="5">
        <v>-10000</v>
      </c>
      <c r="AD22" s="5">
        <f t="shared" si="1"/>
        <v>246978</v>
      </c>
      <c r="AF22" s="5">
        <f t="shared" si="2"/>
        <v>246978</v>
      </c>
      <c r="AG22" s="5">
        <f>-400722</f>
        <v>-400722</v>
      </c>
      <c r="AH22" s="5">
        <v>296434</v>
      </c>
      <c r="AJ22" s="5">
        <v>0</v>
      </c>
      <c r="AK22" s="5">
        <v>0</v>
      </c>
      <c r="AL22" s="5">
        <f>SUM(AH22:AK22)</f>
        <v>296434</v>
      </c>
      <c r="AN22" s="5">
        <f>-10738</f>
        <v>-10738</v>
      </c>
      <c r="AO22" s="5">
        <f>SUM(AL22:AN22)</f>
        <v>285696</v>
      </c>
      <c r="AP22" s="10"/>
      <c r="AQ22" s="10">
        <v>0</v>
      </c>
      <c r="AR22" s="5">
        <f>SUM(AO22:AQ22)</f>
        <v>285696</v>
      </c>
      <c r="AS22" s="5">
        <f>-152440</f>
        <v>-152440</v>
      </c>
      <c r="AT22" s="5">
        <f>SUM(AR22:AS22)</f>
        <v>133256</v>
      </c>
      <c r="AU22" s="5">
        <v>0</v>
      </c>
      <c r="AV22" s="5">
        <v>0</v>
      </c>
      <c r="AW22" s="5">
        <f>SUM(AT22:AV22)</f>
        <v>133256</v>
      </c>
      <c r="AX22" s="5">
        <v>22570</v>
      </c>
      <c r="AY22" s="5">
        <f>SUM(AW22:AX22)</f>
        <v>155826</v>
      </c>
      <c r="AZ22" s="5">
        <v>0</v>
      </c>
      <c r="BA22" s="5">
        <v>0</v>
      </c>
      <c r="BB22" s="5">
        <f>SUM(AY22:BA22)</f>
        <v>155826</v>
      </c>
      <c r="BC22" s="5">
        <v>213097</v>
      </c>
      <c r="BD22" s="5">
        <f>SUM(BB22:BC22)</f>
        <v>368923</v>
      </c>
      <c r="BE22" s="5">
        <v>0</v>
      </c>
      <c r="BF22" s="5">
        <v>0</v>
      </c>
      <c r="BG22" s="5">
        <f>SUM(BD22:BF22)</f>
        <v>368923</v>
      </c>
      <c r="BH22" s="5">
        <f>-199704</f>
        <v>-199704</v>
      </c>
      <c r="BI22" s="5">
        <f>SUM(BG22:BH22)</f>
        <v>169219</v>
      </c>
      <c r="BJ22" s="5">
        <f>'Page 10'!P32</f>
        <v>24000</v>
      </c>
      <c r="BK22" s="5">
        <f>SUM(BI22:BJ22)</f>
        <v>193219</v>
      </c>
    </row>
    <row r="23" spans="1:63" x14ac:dyDescent="0.2">
      <c r="A23" s="5" t="s">
        <v>35</v>
      </c>
      <c r="E23" s="5">
        <v>3398097</v>
      </c>
      <c r="F23" s="5">
        <f>-71715</f>
        <v>-71715</v>
      </c>
      <c r="H23" s="5">
        <f>-582451</f>
        <v>-582451</v>
      </c>
      <c r="J23" s="5">
        <f>SUM(E23:I23)</f>
        <v>2743931</v>
      </c>
      <c r="K23" s="5">
        <v>1392914</v>
      </c>
      <c r="L23" s="5">
        <f>SUM(J23:K23)</f>
        <v>4136845</v>
      </c>
      <c r="M23" s="5">
        <f>-3181991</f>
        <v>-3181991</v>
      </c>
      <c r="N23" s="5">
        <f>2469570+2463570+128000-2030000+57000</f>
        <v>3088140</v>
      </c>
      <c r="O23" s="5">
        <f>SUM(L23:N23)</f>
        <v>4042994</v>
      </c>
      <c r="P23" s="5">
        <v>575297</v>
      </c>
      <c r="Q23" s="5">
        <f>SUM(O23:P23)</f>
        <v>4618291</v>
      </c>
      <c r="R23" s="5">
        <f>-3138830</f>
        <v>-3138830</v>
      </c>
      <c r="S23" s="5">
        <v>815417</v>
      </c>
      <c r="T23" s="5">
        <f>SUM(Q23:S23)</f>
        <v>2294878</v>
      </c>
      <c r="U23" s="5">
        <f>-171061</f>
        <v>-171061</v>
      </c>
      <c r="V23" s="5">
        <f>-1104000</f>
        <v>-1104000</v>
      </c>
      <c r="W23" s="5">
        <f>SUM(T23:V23)</f>
        <v>1019817</v>
      </c>
      <c r="X23" s="5">
        <f>-516939</f>
        <v>-516939</v>
      </c>
      <c r="Y23" s="5">
        <v>0</v>
      </c>
      <c r="Z23" s="5">
        <v>43500</v>
      </c>
      <c r="AA23" s="5">
        <v>870786</v>
      </c>
      <c r="AB23" s="5">
        <f t="shared" si="0"/>
        <v>1417164</v>
      </c>
      <c r="AC23" s="5">
        <v>-487392</v>
      </c>
      <c r="AD23" s="5">
        <f t="shared" si="1"/>
        <v>929772</v>
      </c>
      <c r="AE23" s="5">
        <f>603000+864000+395000-1170000</f>
        <v>692000</v>
      </c>
      <c r="AF23" s="5">
        <f t="shared" si="2"/>
        <v>1621772</v>
      </c>
      <c r="AG23" s="5">
        <v>116533</v>
      </c>
      <c r="AH23" s="6">
        <v>390904</v>
      </c>
      <c r="AJ23" s="6">
        <v>0</v>
      </c>
      <c r="AK23" s="6">
        <v>0</v>
      </c>
      <c r="AL23" s="6">
        <f>SUM(AH23:AK23)</f>
        <v>390904</v>
      </c>
      <c r="AN23" s="6">
        <v>457412</v>
      </c>
      <c r="AO23" s="6">
        <f>SUM(AL23:AN23)</f>
        <v>848316</v>
      </c>
      <c r="AP23" s="10"/>
      <c r="AQ23" s="6">
        <v>298564</v>
      </c>
      <c r="AR23" s="6">
        <f>SUM(AO23:AQ23)</f>
        <v>1146880</v>
      </c>
      <c r="AS23" s="6">
        <f>-462896</f>
        <v>-462896</v>
      </c>
      <c r="AT23" s="6">
        <f>SUM(AR23:AS23)</f>
        <v>683984</v>
      </c>
      <c r="AU23" s="6">
        <v>46504</v>
      </c>
      <c r="AV23" s="6">
        <v>18000</v>
      </c>
      <c r="AW23" s="6">
        <f>SUM(AT23:AV23)</f>
        <v>748488</v>
      </c>
      <c r="AX23" s="6">
        <f>-370325</f>
        <v>-370325</v>
      </c>
      <c r="AY23" s="6">
        <f>SUM(AW23:AX23)</f>
        <v>378163</v>
      </c>
      <c r="AZ23" s="6">
        <v>517502</v>
      </c>
      <c r="BA23" s="6">
        <f>500000-105000</f>
        <v>395000</v>
      </c>
      <c r="BB23" s="6">
        <f>SUM(AY23:BA23)</f>
        <v>1290665</v>
      </c>
      <c r="BC23" s="6">
        <f>-282538</f>
        <v>-282538</v>
      </c>
      <c r="BD23" s="6">
        <f>SUM(BB23:BC23)</f>
        <v>1008127</v>
      </c>
      <c r="BE23" s="6">
        <v>296575</v>
      </c>
      <c r="BF23" s="73">
        <f>88888-160517+250000-270000</f>
        <v>-91629</v>
      </c>
      <c r="BG23" s="6">
        <f>SUM(BD23:BF23)</f>
        <v>1213073</v>
      </c>
      <c r="BH23" s="6">
        <v>1095652</v>
      </c>
      <c r="BI23" s="6">
        <f>SUM(BG23:BH23)</f>
        <v>2308725</v>
      </c>
      <c r="BJ23" s="6">
        <f>'Page 10'!P19-'Page 10'!P33</f>
        <v>-677381.83999999985</v>
      </c>
      <c r="BK23" s="6">
        <f>SUM(BI23:BJ23)</f>
        <v>1631343.1600000001</v>
      </c>
    </row>
    <row r="24" spans="1:63" x14ac:dyDescent="0.2">
      <c r="AF24" s="5">
        <f t="shared" si="2"/>
        <v>0</v>
      </c>
      <c r="AH24" s="5">
        <f>SUM(AH22:AH23)</f>
        <v>687338</v>
      </c>
      <c r="AJ24" s="5">
        <f>SUM(AJ22:AJ23)</f>
        <v>0</v>
      </c>
      <c r="AK24" s="5">
        <f t="shared" ref="AK24:AL24" si="24">SUM(AK22:AK23)</f>
        <v>0</v>
      </c>
      <c r="AL24" s="5">
        <f t="shared" si="24"/>
        <v>687338</v>
      </c>
      <c r="AN24" s="5">
        <f>SUM(AN22:AN23)</f>
        <v>446674</v>
      </c>
      <c r="AO24" s="5">
        <f>SUM(AO22:AO23)</f>
        <v>1134012</v>
      </c>
      <c r="AP24" s="10"/>
      <c r="AQ24" s="10">
        <f t="shared" ref="AQ24:BK24" si="25">SUM(AQ22:AQ23)</f>
        <v>298564</v>
      </c>
      <c r="AR24" s="10">
        <f t="shared" si="25"/>
        <v>1432576</v>
      </c>
      <c r="AS24" s="5">
        <f t="shared" si="25"/>
        <v>-615336</v>
      </c>
      <c r="AT24" s="5">
        <f t="shared" si="25"/>
        <v>817240</v>
      </c>
      <c r="AU24" s="5">
        <f t="shared" si="25"/>
        <v>46504</v>
      </c>
      <c r="AV24" s="5">
        <f>SUM(AV22:AV23)</f>
        <v>18000</v>
      </c>
      <c r="AW24" s="5">
        <f t="shared" si="25"/>
        <v>881744</v>
      </c>
      <c r="AX24" s="5">
        <f t="shared" si="25"/>
        <v>-347755</v>
      </c>
      <c r="AY24" s="5">
        <f t="shared" si="25"/>
        <v>533989</v>
      </c>
      <c r="AZ24" s="5">
        <f t="shared" si="25"/>
        <v>517502</v>
      </c>
      <c r="BA24" s="5">
        <f t="shared" si="25"/>
        <v>395000</v>
      </c>
      <c r="BB24" s="5">
        <f t="shared" si="25"/>
        <v>1446491</v>
      </c>
      <c r="BC24" s="5">
        <f t="shared" si="25"/>
        <v>-69441</v>
      </c>
      <c r="BD24" s="5">
        <f t="shared" si="25"/>
        <v>1377050</v>
      </c>
      <c r="BE24" s="5">
        <f t="shared" si="25"/>
        <v>296575</v>
      </c>
      <c r="BF24" s="5">
        <f>SUM(BF22:BF23)</f>
        <v>-91629</v>
      </c>
      <c r="BG24" s="5">
        <f t="shared" si="25"/>
        <v>1581996</v>
      </c>
      <c r="BH24" s="5">
        <f>SUM(BH22:BH23)</f>
        <v>895948</v>
      </c>
      <c r="BI24" s="5">
        <f>SUM(BI22:BI23)</f>
        <v>2477944</v>
      </c>
      <c r="BJ24" s="5">
        <f t="shared" si="25"/>
        <v>-653381.83999999985</v>
      </c>
      <c r="BK24" s="5">
        <f t="shared" si="25"/>
        <v>1824562.1600000001</v>
      </c>
    </row>
    <row r="25" spans="1:63" x14ac:dyDescent="0.2">
      <c r="A25" s="22" t="s">
        <v>210</v>
      </c>
      <c r="AP25" s="10"/>
      <c r="AQ25" s="10"/>
    </row>
    <row r="26" spans="1:63" x14ac:dyDescent="0.2">
      <c r="A26" s="72" t="s">
        <v>222</v>
      </c>
      <c r="E26" s="5">
        <f>-318194</f>
        <v>-318194</v>
      </c>
      <c r="F26" s="5">
        <f>-750035</f>
        <v>-750035</v>
      </c>
      <c r="J26" s="5">
        <f>SUM(E26:I26)</f>
        <v>-1068229</v>
      </c>
      <c r="K26" s="5">
        <v>260458</v>
      </c>
      <c r="L26" s="5">
        <f>SUM(J26:K26)</f>
        <v>-807771</v>
      </c>
      <c r="M26" s="5">
        <v>600000</v>
      </c>
      <c r="O26" s="5">
        <f>SUM(L26:N26)</f>
        <v>-207771</v>
      </c>
      <c r="P26" s="5">
        <f>-1004176</f>
        <v>-1004176</v>
      </c>
      <c r="Q26" s="5">
        <f>SUM(O26:P26)</f>
        <v>-1211947</v>
      </c>
      <c r="R26" s="5">
        <v>0</v>
      </c>
      <c r="S26" s="5">
        <f>-564529</f>
        <v>-564529</v>
      </c>
      <c r="T26" s="5">
        <f>SUM(Q26:S26)</f>
        <v>-1776476</v>
      </c>
      <c r="U26" s="5">
        <v>171061</v>
      </c>
      <c r="V26" s="5">
        <v>0</v>
      </c>
      <c r="W26" s="5">
        <f>SUM(T26:V26)</f>
        <v>-1605415</v>
      </c>
      <c r="X26" s="5">
        <v>2089</v>
      </c>
      <c r="Y26" s="5">
        <v>1350000</v>
      </c>
      <c r="Z26" s="5">
        <v>0</v>
      </c>
      <c r="AA26" s="5">
        <f>-1235070</f>
        <v>-1235070</v>
      </c>
      <c r="AB26" s="5">
        <f t="shared" si="0"/>
        <v>-1488396</v>
      </c>
      <c r="AD26" s="5">
        <f t="shared" si="1"/>
        <v>-1488396</v>
      </c>
      <c r="AF26" s="5">
        <f t="shared" si="2"/>
        <v>-1488396</v>
      </c>
      <c r="AG26" s="5">
        <v>330998</v>
      </c>
      <c r="AH26" s="5">
        <f>-1213404</f>
        <v>-1213404</v>
      </c>
      <c r="AJ26" s="5">
        <v>0</v>
      </c>
      <c r="AK26" s="5">
        <v>0</v>
      </c>
      <c r="AL26" s="5">
        <f>SUM(AH26:AK26)</f>
        <v>-1213404</v>
      </c>
      <c r="AN26" s="5">
        <f>-47385</f>
        <v>-47385</v>
      </c>
      <c r="AO26" s="5">
        <f>SUM(AL26:AN26)</f>
        <v>-1260789</v>
      </c>
      <c r="AP26" s="10"/>
      <c r="AQ26" s="10">
        <v>0</v>
      </c>
      <c r="AR26" s="5">
        <f>SUM(AO26:AQ26)</f>
        <v>-1260789</v>
      </c>
      <c r="AS26" s="5">
        <v>574902</v>
      </c>
      <c r="AT26" s="5">
        <f>SUM(AR26:AS26)</f>
        <v>-685887</v>
      </c>
      <c r="AU26" s="5">
        <v>0</v>
      </c>
      <c r="AV26" s="5">
        <v>0</v>
      </c>
      <c r="AW26" s="5">
        <f>SUM(AT26:AV26)</f>
        <v>-685887</v>
      </c>
      <c r="AX26" s="5">
        <v>204882</v>
      </c>
      <c r="AY26" s="5">
        <f>SUM(AW26:AX26)</f>
        <v>-481005</v>
      </c>
      <c r="AZ26" s="5">
        <v>0</v>
      </c>
      <c r="BA26" s="5">
        <v>0</v>
      </c>
      <c r="BB26" s="5">
        <f>SUM(AY26:BA26)</f>
        <v>-481005</v>
      </c>
      <c r="BC26" s="5">
        <v>196204</v>
      </c>
      <c r="BD26" s="5">
        <f>SUM(BB26:BC26)</f>
        <v>-284801</v>
      </c>
      <c r="BE26" s="5">
        <v>0</v>
      </c>
      <c r="BF26" s="5">
        <v>0</v>
      </c>
      <c r="BG26" s="5">
        <f>SUM(BD26:BF26)</f>
        <v>-284801</v>
      </c>
      <c r="BH26" s="5">
        <f>-1162073</f>
        <v>-1162073</v>
      </c>
      <c r="BI26" s="5">
        <f>SUM(BG26:BH26)</f>
        <v>-1446874</v>
      </c>
      <c r="BJ26" s="5">
        <f>'Page 10'!P31</f>
        <v>1222402</v>
      </c>
      <c r="BK26" s="5">
        <f>SUM(BI26:BJ26)</f>
        <v>-224472</v>
      </c>
    </row>
    <row r="27" spans="1:63" x14ac:dyDescent="0.2">
      <c r="A27" s="72" t="s">
        <v>128</v>
      </c>
      <c r="AF27" s="5">
        <f t="shared" si="2"/>
        <v>0</v>
      </c>
      <c r="AH27" s="5">
        <v>0</v>
      </c>
      <c r="AJ27" s="5">
        <v>0</v>
      </c>
      <c r="AK27" s="5">
        <v>0</v>
      </c>
      <c r="AL27" s="5">
        <f t="shared" ref="AL27:AL28" si="26">SUM(AH27:AK27)</f>
        <v>0</v>
      </c>
      <c r="AN27" s="5">
        <v>0</v>
      </c>
      <c r="AO27" s="5">
        <f t="shared" ref="AO27:AO28" si="27">SUM(AL27:AN27)</f>
        <v>0</v>
      </c>
      <c r="AP27" s="10"/>
      <c r="AQ27" s="10">
        <v>0</v>
      </c>
      <c r="AR27" s="5">
        <f t="shared" ref="AR27:AR28" si="28">SUM(AO27:AQ27)</f>
        <v>0</v>
      </c>
      <c r="AS27" s="5">
        <v>0</v>
      </c>
      <c r="AT27" s="5">
        <f t="shared" ref="AT27:AT28" si="29">SUM(AR27:AS27)</f>
        <v>0</v>
      </c>
      <c r="AU27" s="5">
        <v>0</v>
      </c>
      <c r="AV27" s="5">
        <v>0</v>
      </c>
      <c r="AW27" s="5">
        <f t="shared" ref="AW27:AW28" si="30">SUM(AT27:AV27)</f>
        <v>0</v>
      </c>
      <c r="AX27" s="5">
        <f>-105000</f>
        <v>-105000</v>
      </c>
      <c r="AY27" s="5">
        <f t="shared" ref="AY27:AY28" si="31">SUM(AW27:AX27)</f>
        <v>-105000</v>
      </c>
      <c r="AZ27" s="5">
        <v>0</v>
      </c>
      <c r="BA27" s="5">
        <v>0</v>
      </c>
      <c r="BB27" s="5">
        <f>SUM(AY27:BA27)</f>
        <v>-105000</v>
      </c>
      <c r="BC27" s="5">
        <v>0</v>
      </c>
      <c r="BD27" s="5">
        <f t="shared" ref="BD27:BD28" si="32">SUM(BB27:BC27)</f>
        <v>-105000</v>
      </c>
      <c r="BE27" s="5">
        <v>0</v>
      </c>
      <c r="BF27" s="5">
        <v>0</v>
      </c>
      <c r="BG27" s="5">
        <f t="shared" ref="BG27:BG28" si="33">SUM(BD27:BF27)</f>
        <v>-105000</v>
      </c>
      <c r="BH27" s="5">
        <f>-70000</f>
        <v>-70000</v>
      </c>
      <c r="BI27" s="5">
        <f t="shared" ref="BI27:BI28" si="34">SUM(BG27:BH27)</f>
        <v>-175000</v>
      </c>
      <c r="BJ27" s="5">
        <v>0</v>
      </c>
      <c r="BK27" s="5">
        <f t="shared" ref="BK27:BK28" si="35">SUM(BI27:BJ27)</f>
        <v>-175000</v>
      </c>
    </row>
    <row r="28" spans="1:63" x14ac:dyDescent="0.2">
      <c r="A28" s="72" t="s">
        <v>214</v>
      </c>
      <c r="AH28" s="5">
        <v>0</v>
      </c>
      <c r="AJ28" s="5">
        <f>-37807</f>
        <v>-37807</v>
      </c>
      <c r="AK28" s="5">
        <v>0</v>
      </c>
      <c r="AL28" s="5">
        <f t="shared" si="26"/>
        <v>-37807</v>
      </c>
      <c r="AN28" s="5">
        <f>-1134</f>
        <v>-1134</v>
      </c>
      <c r="AO28" s="5">
        <f t="shared" si="27"/>
        <v>-38941</v>
      </c>
      <c r="AP28" s="10"/>
      <c r="AQ28" s="10">
        <f>-1168</f>
        <v>-1168</v>
      </c>
      <c r="AR28" s="5">
        <f t="shared" si="28"/>
        <v>-40109</v>
      </c>
      <c r="AS28" s="5">
        <v>266</v>
      </c>
      <c r="AT28" s="5">
        <f t="shared" si="29"/>
        <v>-39843</v>
      </c>
      <c r="AU28" s="5">
        <f>-7265</f>
        <v>-7265</v>
      </c>
      <c r="AV28" s="5">
        <v>0</v>
      </c>
      <c r="AW28" s="5">
        <f t="shared" si="30"/>
        <v>-47108</v>
      </c>
      <c r="AX28" s="5">
        <v>2036</v>
      </c>
      <c r="AY28" s="5">
        <f t="shared" si="31"/>
        <v>-45072</v>
      </c>
      <c r="AZ28" s="5">
        <v>950</v>
      </c>
      <c r="BA28" s="5">
        <v>0</v>
      </c>
      <c r="BB28" s="5">
        <f>SUM(AY28:BA28)</f>
        <v>-44122</v>
      </c>
      <c r="BC28" s="5">
        <f>-2302</f>
        <v>-2302</v>
      </c>
      <c r="BD28" s="5">
        <f t="shared" si="32"/>
        <v>-46424</v>
      </c>
      <c r="BE28" s="5">
        <f>-3695</f>
        <v>-3695</v>
      </c>
      <c r="BF28" s="5">
        <v>0</v>
      </c>
      <c r="BG28" s="5">
        <f t="shared" si="33"/>
        <v>-50119</v>
      </c>
      <c r="BH28" s="5">
        <v>50119</v>
      </c>
      <c r="BI28" s="5">
        <f t="shared" si="34"/>
        <v>0</v>
      </c>
      <c r="BJ28" s="5">
        <v>0</v>
      </c>
      <c r="BK28" s="5">
        <f t="shared" si="35"/>
        <v>0</v>
      </c>
    </row>
    <row r="29" spans="1:63" ht="13.5" thickBot="1" x14ac:dyDescent="0.25">
      <c r="A29" s="22"/>
      <c r="AF29" s="5">
        <f t="shared" si="2"/>
        <v>0</v>
      </c>
      <c r="AH29" s="98">
        <f>SUM(AH24:AH28)</f>
        <v>-526066</v>
      </c>
      <c r="AJ29" s="98">
        <f>SUM(AJ24:AJ28)</f>
        <v>-37807</v>
      </c>
      <c r="AK29" s="98">
        <f t="shared" ref="AK29:AL29" si="36">SUM(AK24:AK28)</f>
        <v>0</v>
      </c>
      <c r="AL29" s="98">
        <f t="shared" si="36"/>
        <v>-563873</v>
      </c>
      <c r="AN29" s="98">
        <f>SUM(AN24:AN28)</f>
        <v>398155</v>
      </c>
      <c r="AO29" s="98">
        <f>SUM(AO24:AO28)</f>
        <v>-165718</v>
      </c>
      <c r="AP29" s="10"/>
      <c r="AQ29" s="98">
        <f t="shared" ref="AQ29:BK29" si="37">SUM(AQ24:AQ28)</f>
        <v>297396</v>
      </c>
      <c r="AR29" s="98">
        <f t="shared" si="37"/>
        <v>131678</v>
      </c>
      <c r="AS29" s="98">
        <f t="shared" si="37"/>
        <v>-40168</v>
      </c>
      <c r="AT29" s="98">
        <f t="shared" si="37"/>
        <v>91510</v>
      </c>
      <c r="AU29" s="98">
        <f t="shared" si="37"/>
        <v>39239</v>
      </c>
      <c r="AV29" s="98">
        <f>SUM(AV24:AV28)</f>
        <v>18000</v>
      </c>
      <c r="AW29" s="98">
        <f t="shared" si="37"/>
        <v>148749</v>
      </c>
      <c r="AX29" s="98">
        <f t="shared" si="37"/>
        <v>-245837</v>
      </c>
      <c r="AY29" s="98">
        <f t="shared" si="37"/>
        <v>-97088</v>
      </c>
      <c r="AZ29" s="98">
        <f t="shared" si="37"/>
        <v>518452</v>
      </c>
      <c r="BA29" s="98">
        <f t="shared" si="37"/>
        <v>395000</v>
      </c>
      <c r="BB29" s="98">
        <f t="shared" si="37"/>
        <v>816364</v>
      </c>
      <c r="BC29" s="98">
        <f t="shared" si="37"/>
        <v>124461</v>
      </c>
      <c r="BD29" s="98">
        <f t="shared" si="37"/>
        <v>940825</v>
      </c>
      <c r="BE29" s="98">
        <f t="shared" si="37"/>
        <v>292880</v>
      </c>
      <c r="BF29" s="98">
        <f>SUM(BF24:BF28)</f>
        <v>-91629</v>
      </c>
      <c r="BG29" s="98">
        <f t="shared" si="37"/>
        <v>1142076</v>
      </c>
      <c r="BH29" s="98">
        <f>SUM(BH24:BH28)</f>
        <v>-286006</v>
      </c>
      <c r="BI29" s="98">
        <f>SUM(BI24:BI28)</f>
        <v>856070</v>
      </c>
      <c r="BJ29" s="98">
        <f t="shared" si="37"/>
        <v>569020.16000000015</v>
      </c>
      <c r="BK29" s="98">
        <f t="shared" si="37"/>
        <v>1425090.1600000001</v>
      </c>
    </row>
    <row r="30" spans="1:63" x14ac:dyDescent="0.2">
      <c r="A30" s="22"/>
      <c r="AP30" s="10"/>
      <c r="AQ30" s="10"/>
    </row>
    <row r="31" spans="1:63" x14ac:dyDescent="0.2">
      <c r="A31" s="22" t="s">
        <v>211</v>
      </c>
      <c r="AP31" s="10"/>
      <c r="AQ31" s="10"/>
    </row>
    <row r="32" spans="1:63" x14ac:dyDescent="0.2">
      <c r="A32" s="5" t="s">
        <v>128</v>
      </c>
      <c r="AH32" s="5">
        <f>-9569000</f>
        <v>-9569000</v>
      </c>
      <c r="AJ32" s="5">
        <v>0</v>
      </c>
      <c r="AK32" s="5">
        <v>0</v>
      </c>
      <c r="AL32" s="5">
        <f>SUM(AH32:AK32)</f>
        <v>-9569000</v>
      </c>
      <c r="AN32" s="5">
        <f>-500000</f>
        <v>-500000</v>
      </c>
      <c r="AO32" s="5">
        <f>SUM(AL32:AN32)</f>
        <v>-10069000</v>
      </c>
      <c r="AP32" s="10"/>
      <c r="AQ32" s="10">
        <f>-3000000</f>
        <v>-3000000</v>
      </c>
      <c r="AR32" s="5">
        <f>SUM(AO32:AQ32)</f>
        <v>-13069000</v>
      </c>
      <c r="AS32" s="5">
        <v>500000</v>
      </c>
      <c r="AT32" s="5">
        <f>SUM(AR32:AS32)</f>
        <v>-12569000</v>
      </c>
      <c r="AU32" s="5">
        <f>-1000000</f>
        <v>-1000000</v>
      </c>
      <c r="AV32" s="5">
        <v>0</v>
      </c>
      <c r="AW32" s="5">
        <f>SUM(AT32:AV32)</f>
        <v>-13569000</v>
      </c>
      <c r="AX32" s="5">
        <f>250000+105000</f>
        <v>355000</v>
      </c>
      <c r="AY32" s="5">
        <f>SUM(AW32:AX32)</f>
        <v>-13214000</v>
      </c>
      <c r="AZ32" s="5">
        <v>0</v>
      </c>
      <c r="BA32" s="5">
        <v>105000</v>
      </c>
      <c r="BB32" s="5">
        <f>SUM(AY32:BA32)</f>
        <v>-13109000</v>
      </c>
      <c r="BC32" s="5">
        <v>0</v>
      </c>
      <c r="BD32" s="5">
        <f>SUM(BB32:BC32)</f>
        <v>-13109000</v>
      </c>
      <c r="BE32" s="5">
        <v>105000</v>
      </c>
      <c r="BF32" s="5">
        <f>-250000</f>
        <v>-250000</v>
      </c>
      <c r="BG32" s="5">
        <f>SUM(BD32:BF32)</f>
        <v>-13254000</v>
      </c>
      <c r="BH32" s="5">
        <f>-360000+680000</f>
        <v>320000</v>
      </c>
      <c r="BI32" s="5">
        <f>SUM(BG32:BH32)</f>
        <v>-12934000</v>
      </c>
      <c r="BJ32" s="5">
        <f>-'Page 10'!P17+'Page 10'!P27</f>
        <v>-825000</v>
      </c>
      <c r="BK32" s="5">
        <f>SUM(BI32:BJ32)</f>
        <v>-13759000</v>
      </c>
    </row>
    <row r="33" spans="1:63" x14ac:dyDescent="0.2">
      <c r="A33" s="5" t="s">
        <v>242</v>
      </c>
      <c r="AP33" s="10"/>
      <c r="AQ33" s="10"/>
      <c r="AS33" s="5">
        <f>72725</f>
        <v>72725</v>
      </c>
      <c r="AT33" s="5">
        <f>SUM(AR33:AS33)</f>
        <v>72725</v>
      </c>
      <c r="AU33" s="5">
        <v>0</v>
      </c>
      <c r="AV33" s="5">
        <v>0</v>
      </c>
      <c r="AW33" s="5">
        <f>SUM(AT33:AV33)</f>
        <v>72725</v>
      </c>
      <c r="AX33" s="5">
        <f>-72725</f>
        <v>-72725</v>
      </c>
      <c r="AY33" s="5">
        <f t="shared" ref="AY33:AY38" si="38">SUM(AW33:AX33)</f>
        <v>0</v>
      </c>
      <c r="AZ33" s="5">
        <v>0</v>
      </c>
      <c r="BA33" s="5">
        <v>0</v>
      </c>
      <c r="BB33" s="5">
        <f t="shared" ref="BB33:BB38" si="39">SUM(AY33:BA33)</f>
        <v>0</v>
      </c>
      <c r="BC33" s="5">
        <v>0</v>
      </c>
      <c r="BD33" s="5">
        <f t="shared" ref="BD33:BD38" si="40">SUM(BB33:BC33)</f>
        <v>0</v>
      </c>
      <c r="BE33" s="5">
        <v>0</v>
      </c>
      <c r="BF33" s="5">
        <v>0</v>
      </c>
      <c r="BG33" s="5">
        <f t="shared" ref="BG33:BG38" si="41">SUM(BD33:BF33)</f>
        <v>0</v>
      </c>
      <c r="BH33" s="5">
        <v>0</v>
      </c>
      <c r="BI33" s="5">
        <f t="shared" ref="BI33:BI38" si="42">SUM(BG33:BH33)</f>
        <v>0</v>
      </c>
      <c r="BJ33" s="5">
        <v>0</v>
      </c>
      <c r="BK33" s="5">
        <f t="shared" ref="BK33:BK38" si="43">SUM(BI33:BJ33)</f>
        <v>0</v>
      </c>
    </row>
    <row r="34" spans="1:63" x14ac:dyDescent="0.2">
      <c r="A34" s="5" t="s">
        <v>36</v>
      </c>
      <c r="E34" s="5">
        <f>-680000</f>
        <v>-680000</v>
      </c>
      <c r="F34" s="5">
        <v>0</v>
      </c>
      <c r="J34" s="5">
        <f>SUM(E34:I34)</f>
        <v>-680000</v>
      </c>
      <c r="L34" s="5">
        <f>SUM(J34:K34)</f>
        <v>-680000</v>
      </c>
      <c r="O34" s="5">
        <f>SUM(L34:N34)</f>
        <v>-680000</v>
      </c>
      <c r="P34" s="5">
        <v>0</v>
      </c>
      <c r="Q34" s="5">
        <f>SUM(O34:P34)</f>
        <v>-680000</v>
      </c>
      <c r="R34" s="5">
        <v>0</v>
      </c>
      <c r="S34" s="5">
        <v>0</v>
      </c>
      <c r="T34" s="5">
        <f>SUM(Q34:S34)</f>
        <v>-680000</v>
      </c>
      <c r="U34" s="5">
        <v>0</v>
      </c>
      <c r="V34" s="5">
        <v>0</v>
      </c>
      <c r="W34" s="5">
        <f>SUM(T34:V34)</f>
        <v>-680000</v>
      </c>
      <c r="Z34" s="5">
        <v>0</v>
      </c>
      <c r="AA34" s="5">
        <v>0</v>
      </c>
      <c r="AB34" s="5">
        <f t="shared" si="0"/>
        <v>-680000</v>
      </c>
      <c r="AD34" s="5">
        <f t="shared" si="1"/>
        <v>-680000</v>
      </c>
      <c r="AF34" s="5">
        <f t="shared" si="2"/>
        <v>-680000</v>
      </c>
      <c r="AG34" s="5">
        <v>0</v>
      </c>
      <c r="AH34" s="5">
        <f>-680000</f>
        <v>-680000</v>
      </c>
      <c r="AJ34" s="5">
        <v>0</v>
      </c>
      <c r="AK34" s="5">
        <v>0</v>
      </c>
      <c r="AL34" s="5">
        <f t="shared" ref="AL34:AL38" si="44">SUM(AH34:AK34)</f>
        <v>-680000</v>
      </c>
      <c r="AN34" s="5">
        <v>0</v>
      </c>
      <c r="AO34" s="5">
        <f t="shared" ref="AO34:AO38" si="45">SUM(AL34:AN34)</f>
        <v>-680000</v>
      </c>
      <c r="AP34" s="10"/>
      <c r="AQ34" s="10">
        <v>0</v>
      </c>
      <c r="AR34" s="5">
        <f t="shared" ref="AR34:AR38" si="46">SUM(AO34:AQ34)</f>
        <v>-680000</v>
      </c>
      <c r="AS34" s="5">
        <v>0</v>
      </c>
      <c r="AT34" s="5">
        <f t="shared" ref="AT34:AT38" si="47">SUM(AR34:AS34)</f>
        <v>-680000</v>
      </c>
      <c r="AU34" s="5">
        <v>0</v>
      </c>
      <c r="AV34" s="5">
        <v>0</v>
      </c>
      <c r="AW34" s="5">
        <f t="shared" ref="AW34:AW38" si="48">SUM(AT34:AV34)</f>
        <v>-680000</v>
      </c>
      <c r="AX34" s="5">
        <v>0</v>
      </c>
      <c r="AY34" s="5">
        <f t="shared" si="38"/>
        <v>-680000</v>
      </c>
      <c r="AZ34" s="5">
        <v>0</v>
      </c>
      <c r="BA34" s="5">
        <v>0</v>
      </c>
      <c r="BB34" s="5">
        <f t="shared" si="39"/>
        <v>-680000</v>
      </c>
      <c r="BC34" s="5">
        <v>0</v>
      </c>
      <c r="BD34" s="5">
        <f t="shared" si="40"/>
        <v>-680000</v>
      </c>
      <c r="BE34" s="5">
        <v>0</v>
      </c>
      <c r="BF34" s="5">
        <v>0</v>
      </c>
      <c r="BG34" s="5">
        <f t="shared" si="41"/>
        <v>-680000</v>
      </c>
      <c r="BH34" s="5">
        <v>0</v>
      </c>
      <c r="BI34" s="5">
        <f t="shared" si="42"/>
        <v>-680000</v>
      </c>
      <c r="BJ34" s="5">
        <v>0</v>
      </c>
      <c r="BK34" s="5">
        <f t="shared" si="43"/>
        <v>-680000</v>
      </c>
    </row>
    <row r="35" spans="1:63" x14ac:dyDescent="0.2">
      <c r="A35" s="5" t="s">
        <v>242</v>
      </c>
      <c r="AP35" s="10"/>
      <c r="AQ35" s="10"/>
      <c r="AS35" s="5">
        <v>365119</v>
      </c>
      <c r="AT35" s="5">
        <f t="shared" si="47"/>
        <v>365119</v>
      </c>
      <c r="AU35" s="5">
        <v>0</v>
      </c>
      <c r="AV35" s="5">
        <v>0</v>
      </c>
      <c r="AW35" s="5">
        <f t="shared" si="48"/>
        <v>365119</v>
      </c>
      <c r="AX35" s="5">
        <f>-20467</f>
        <v>-20467</v>
      </c>
      <c r="AY35" s="5">
        <f t="shared" si="38"/>
        <v>344652</v>
      </c>
      <c r="AZ35" s="5">
        <v>0</v>
      </c>
      <c r="BA35" s="5">
        <v>0</v>
      </c>
      <c r="BB35" s="5">
        <f t="shared" si="39"/>
        <v>344652</v>
      </c>
      <c r="BC35" s="5">
        <f>-21798</f>
        <v>-21798</v>
      </c>
      <c r="BD35" s="5">
        <f t="shared" si="40"/>
        <v>322854</v>
      </c>
      <c r="BE35" s="5">
        <v>0</v>
      </c>
      <c r="BF35" s="5">
        <v>0</v>
      </c>
      <c r="BG35" s="5">
        <f t="shared" si="41"/>
        <v>322854</v>
      </c>
      <c r="BH35" s="5">
        <f>-322854</f>
        <v>-322854</v>
      </c>
      <c r="BI35" s="5">
        <f t="shared" si="42"/>
        <v>0</v>
      </c>
      <c r="BJ35" s="5">
        <v>0</v>
      </c>
      <c r="BK35" s="5">
        <f t="shared" si="43"/>
        <v>0</v>
      </c>
    </row>
    <row r="36" spans="1:63" x14ac:dyDescent="0.2">
      <c r="A36" s="72" t="s">
        <v>212</v>
      </c>
      <c r="J36" s="5">
        <v>0</v>
      </c>
      <c r="M36" s="5">
        <f>-2030000</f>
        <v>-2030000</v>
      </c>
      <c r="N36" s="5">
        <v>2030000</v>
      </c>
      <c r="O36" s="5">
        <f>SUM(L36:N36)</f>
        <v>0</v>
      </c>
      <c r="Q36" s="5">
        <v>0</v>
      </c>
      <c r="R36" s="5">
        <v>0</v>
      </c>
      <c r="S36" s="5">
        <v>0</v>
      </c>
      <c r="T36" s="5">
        <f>SUM(Q36:S36)</f>
        <v>0</v>
      </c>
      <c r="V36" s="5">
        <f>-3025000</f>
        <v>-3025000</v>
      </c>
      <c r="W36" s="5">
        <f>SUM(T36:V36)</f>
        <v>-3025000</v>
      </c>
      <c r="X36" s="5">
        <v>2275000</v>
      </c>
      <c r="Y36" s="5">
        <f>820000+500000+500000+687000-1350000-268000</f>
        <v>889000</v>
      </c>
      <c r="Z36" s="5">
        <f>-5250000</f>
        <v>-5250000</v>
      </c>
      <c r="AA36" s="5">
        <v>1092000</v>
      </c>
      <c r="AB36" s="5">
        <f t="shared" si="0"/>
        <v>-4019000</v>
      </c>
      <c r="AC36" s="5">
        <v>-6000000</v>
      </c>
      <c r="AD36" s="5">
        <f t="shared" si="1"/>
        <v>-10019000</v>
      </c>
      <c r="AE36" s="5">
        <f>10019000-8849000</f>
        <v>1170000</v>
      </c>
      <c r="AF36" s="5">
        <f t="shared" si="2"/>
        <v>-8849000</v>
      </c>
      <c r="AG36" s="5">
        <f>30000</f>
        <v>30000</v>
      </c>
      <c r="AH36" s="5">
        <f>-131000</f>
        <v>-131000</v>
      </c>
      <c r="AJ36" s="5">
        <v>0</v>
      </c>
      <c r="AK36" s="5">
        <v>0</v>
      </c>
      <c r="AL36" s="5">
        <f t="shared" si="44"/>
        <v>-131000</v>
      </c>
      <c r="AN36" s="5">
        <f>-41000</f>
        <v>-41000</v>
      </c>
      <c r="AO36" s="5">
        <f t="shared" si="45"/>
        <v>-172000</v>
      </c>
      <c r="AP36" s="10"/>
      <c r="AQ36" s="10">
        <v>0</v>
      </c>
      <c r="AR36" s="5">
        <f t="shared" si="46"/>
        <v>-172000</v>
      </c>
      <c r="AS36" s="5">
        <v>11000</v>
      </c>
      <c r="AT36" s="5">
        <f t="shared" si="47"/>
        <v>-161000</v>
      </c>
      <c r="AU36" s="5">
        <v>0</v>
      </c>
      <c r="AV36" s="5">
        <v>0</v>
      </c>
      <c r="AW36" s="5">
        <f t="shared" si="48"/>
        <v>-161000</v>
      </c>
      <c r="AX36" s="5">
        <f>-36000</f>
        <v>-36000</v>
      </c>
      <c r="AY36" s="5">
        <f t="shared" si="38"/>
        <v>-197000</v>
      </c>
      <c r="AZ36" s="5">
        <v>0</v>
      </c>
      <c r="BA36" s="5">
        <v>197000</v>
      </c>
      <c r="BB36" s="5">
        <f t="shared" si="39"/>
        <v>0</v>
      </c>
      <c r="BC36" s="5">
        <v>0</v>
      </c>
      <c r="BD36" s="5">
        <f t="shared" si="40"/>
        <v>0</v>
      </c>
      <c r="BE36" s="5">
        <v>0</v>
      </c>
      <c r="BF36" s="5">
        <v>0</v>
      </c>
      <c r="BG36" s="5">
        <f t="shared" si="41"/>
        <v>0</v>
      </c>
      <c r="BH36" s="5">
        <v>0</v>
      </c>
      <c r="BI36" s="5">
        <f t="shared" si="42"/>
        <v>0</v>
      </c>
      <c r="BJ36" s="5">
        <v>0</v>
      </c>
      <c r="BK36" s="5">
        <f t="shared" si="43"/>
        <v>0</v>
      </c>
    </row>
    <row r="37" spans="1:63" x14ac:dyDescent="0.2">
      <c r="A37" s="72" t="s">
        <v>547</v>
      </c>
      <c r="AP37" s="10"/>
      <c r="AQ37" s="10"/>
      <c r="BD37" s="5">
        <v>0</v>
      </c>
      <c r="BE37" s="5">
        <v>0</v>
      </c>
      <c r="BF37" s="5">
        <v>0</v>
      </c>
      <c r="BG37" s="5">
        <v>0</v>
      </c>
      <c r="BH37" s="5">
        <f>-389000</f>
        <v>-389000</v>
      </c>
      <c r="BI37" s="5">
        <f>SUM(BG37:BH37)</f>
        <v>-389000</v>
      </c>
      <c r="BJ37" s="5">
        <f>'Page 10'!P30</f>
        <v>47816.840000000004</v>
      </c>
      <c r="BK37" s="5">
        <f t="shared" si="43"/>
        <v>-341183.16</v>
      </c>
    </row>
    <row r="38" spans="1:63" x14ac:dyDescent="0.2">
      <c r="A38" s="72" t="s">
        <v>213</v>
      </c>
      <c r="AH38" s="5">
        <v>0</v>
      </c>
      <c r="AJ38" s="5">
        <f>-452193</f>
        <v>-452193</v>
      </c>
      <c r="AK38" s="5">
        <v>0</v>
      </c>
      <c r="AL38" s="5">
        <f t="shared" si="44"/>
        <v>-452193</v>
      </c>
      <c r="AN38" s="5">
        <f>-12866</f>
        <v>-12866</v>
      </c>
      <c r="AO38" s="5">
        <f t="shared" si="45"/>
        <v>-465059</v>
      </c>
      <c r="AP38" s="10"/>
      <c r="AQ38" s="10">
        <v>24941</v>
      </c>
      <c r="AR38" s="5">
        <f t="shared" si="46"/>
        <v>-440118</v>
      </c>
      <c r="AS38" s="5">
        <v>211782</v>
      </c>
      <c r="AT38" s="5">
        <f t="shared" si="47"/>
        <v>-228336</v>
      </c>
      <c r="AU38" s="5">
        <v>37606</v>
      </c>
      <c r="AV38" s="5">
        <v>0</v>
      </c>
      <c r="AW38" s="5">
        <f t="shared" si="48"/>
        <v>-190730</v>
      </c>
      <c r="AX38" s="5">
        <v>6802</v>
      </c>
      <c r="AY38" s="5">
        <f t="shared" si="38"/>
        <v>-183928</v>
      </c>
      <c r="AZ38" s="5">
        <v>39430</v>
      </c>
      <c r="BA38" s="5">
        <v>0</v>
      </c>
      <c r="BB38" s="5">
        <f t="shared" si="39"/>
        <v>-144498</v>
      </c>
      <c r="BC38" s="5">
        <v>5922</v>
      </c>
      <c r="BD38" s="5">
        <f t="shared" si="40"/>
        <v>-138576</v>
      </c>
      <c r="BE38" s="5">
        <v>46315</v>
      </c>
      <c r="BF38" s="5">
        <v>0</v>
      </c>
      <c r="BG38" s="5">
        <f t="shared" si="41"/>
        <v>-92261</v>
      </c>
      <c r="BH38" s="5">
        <v>92261</v>
      </c>
      <c r="BI38" s="5">
        <f t="shared" si="42"/>
        <v>0</v>
      </c>
      <c r="BJ38" s="5">
        <v>0</v>
      </c>
      <c r="BK38" s="5">
        <f t="shared" si="43"/>
        <v>0</v>
      </c>
    </row>
    <row r="39" spans="1:63" ht="13.5" thickBot="1" x14ac:dyDescent="0.25">
      <c r="A39" s="72"/>
      <c r="AH39" s="98">
        <f>SUM(AH32:AH38)</f>
        <v>-10380000</v>
      </c>
      <c r="AJ39" s="98">
        <f>SUM(AJ32:AJ38)</f>
        <v>-452193</v>
      </c>
      <c r="AK39" s="98">
        <f t="shared" ref="AK39:AL39" si="49">SUM(AK32:AK38)</f>
        <v>0</v>
      </c>
      <c r="AL39" s="98">
        <f t="shared" si="49"/>
        <v>-10832193</v>
      </c>
      <c r="AN39" s="98">
        <f>SUM(AN32:AN38)</f>
        <v>-553866</v>
      </c>
      <c r="AO39" s="98">
        <f>SUM(AO32:AO38)</f>
        <v>-11386059</v>
      </c>
      <c r="AP39" s="10"/>
      <c r="AQ39" s="98">
        <f t="shared" ref="AQ39:BK39" si="50">SUM(AQ32:AQ38)</f>
        <v>-2975059</v>
      </c>
      <c r="AR39" s="98">
        <f t="shared" si="50"/>
        <v>-14361118</v>
      </c>
      <c r="AS39" s="98">
        <f t="shared" si="50"/>
        <v>1160626</v>
      </c>
      <c r="AT39" s="98">
        <f t="shared" si="50"/>
        <v>-13200492</v>
      </c>
      <c r="AU39" s="98">
        <f t="shared" si="50"/>
        <v>-962394</v>
      </c>
      <c r="AV39" s="98">
        <f>SUM(AV32:AV38)</f>
        <v>0</v>
      </c>
      <c r="AW39" s="98">
        <f t="shared" si="50"/>
        <v>-14162886</v>
      </c>
      <c r="AX39" s="98">
        <f t="shared" si="50"/>
        <v>232610</v>
      </c>
      <c r="AY39" s="98">
        <f t="shared" si="50"/>
        <v>-13930276</v>
      </c>
      <c r="AZ39" s="98">
        <f t="shared" si="50"/>
        <v>39430</v>
      </c>
      <c r="BA39" s="98">
        <f t="shared" si="50"/>
        <v>302000</v>
      </c>
      <c r="BB39" s="98">
        <f t="shared" si="50"/>
        <v>-13588846</v>
      </c>
      <c r="BC39" s="98">
        <f t="shared" si="50"/>
        <v>-15876</v>
      </c>
      <c r="BD39" s="98">
        <f t="shared" si="50"/>
        <v>-13604722</v>
      </c>
      <c r="BE39" s="98">
        <f t="shared" si="50"/>
        <v>151315</v>
      </c>
      <c r="BF39" s="98">
        <f>SUM(BF32:BF38)</f>
        <v>-250000</v>
      </c>
      <c r="BG39" s="98">
        <f t="shared" si="50"/>
        <v>-13703407</v>
      </c>
      <c r="BH39" s="98">
        <f>SUM(BH32:BH38)</f>
        <v>-299593</v>
      </c>
      <c r="BI39" s="98">
        <f>SUM(BI32:BI38)</f>
        <v>-14003000</v>
      </c>
      <c r="BJ39" s="98">
        <f t="shared" si="50"/>
        <v>-777183.16</v>
      </c>
      <c r="BK39" s="98">
        <f t="shared" si="50"/>
        <v>-14780183.16</v>
      </c>
    </row>
    <row r="40" spans="1:63" x14ac:dyDescent="0.2">
      <c r="A40" s="22" t="s">
        <v>215</v>
      </c>
      <c r="AF40" s="5">
        <f t="shared" si="2"/>
        <v>0</v>
      </c>
      <c r="AP40" s="10"/>
      <c r="AQ40" s="10"/>
    </row>
    <row r="41" spans="1:63" x14ac:dyDescent="0.2">
      <c r="A41" s="72" t="s">
        <v>205</v>
      </c>
      <c r="AH41" s="5">
        <v>0</v>
      </c>
      <c r="AJ41" s="5">
        <v>1434735</v>
      </c>
      <c r="AK41" s="5">
        <f>-13639937</f>
        <v>-13639937</v>
      </c>
      <c r="AL41" s="5">
        <f>SUM(AH41:AK41)</f>
        <v>-12205202</v>
      </c>
      <c r="AN41" s="5">
        <v>209083</v>
      </c>
      <c r="AO41" s="5">
        <f>SUM(AL41:AN41)</f>
        <v>-11996119</v>
      </c>
      <c r="AP41" s="10"/>
      <c r="AQ41" s="10">
        <f>-312649</f>
        <v>-312649</v>
      </c>
      <c r="AR41" s="5">
        <f>SUM(AO41:AQ41)</f>
        <v>-12308768</v>
      </c>
      <c r="AS41" s="5">
        <v>65779</v>
      </c>
      <c r="AT41" s="5">
        <f>SUM(AR41:AS41)</f>
        <v>-12242989</v>
      </c>
      <c r="AU41" s="5">
        <v>372601</v>
      </c>
      <c r="AV41" s="5">
        <v>0</v>
      </c>
      <c r="AW41" s="5">
        <f>SUM(AT41:AV41)</f>
        <v>-11870388</v>
      </c>
      <c r="AX41" s="5">
        <v>1330</v>
      </c>
      <c r="AY41" s="5">
        <f>SUM(AW41:AX41)</f>
        <v>-11869058</v>
      </c>
      <c r="AZ41" s="5">
        <f>-472308</f>
        <v>-472308</v>
      </c>
      <c r="BA41" s="5">
        <f>840000-88000</f>
        <v>752000</v>
      </c>
      <c r="BB41" s="5">
        <f>SUM(AY41:BA41)</f>
        <v>-11589366</v>
      </c>
      <c r="BC41" s="5">
        <f>-31706</f>
        <v>-31706</v>
      </c>
      <c r="BD41" s="5">
        <f>SUM(BB41:BC41)</f>
        <v>-11621072</v>
      </c>
      <c r="BE41" s="5">
        <f>-1106524</f>
        <v>-1106524</v>
      </c>
      <c r="BF41" s="5">
        <f>-88888-270000</f>
        <v>-358888</v>
      </c>
      <c r="BG41" s="5">
        <f>SUM(BD41:BF41)</f>
        <v>-13086484</v>
      </c>
      <c r="BH41" s="5">
        <f>-229817</f>
        <v>-229817</v>
      </c>
      <c r="BI41" s="5">
        <f>SUM(BG41:BH41)</f>
        <v>-13316301</v>
      </c>
      <c r="BJ41" s="5">
        <f>-'Page 10'!P15+'Page 8'!R28+319552</f>
        <v>746652</v>
      </c>
      <c r="BK41" s="5">
        <f>SUM(BI41:BJ41)</f>
        <v>-12569649</v>
      </c>
    </row>
    <row r="42" spans="1:63" x14ac:dyDescent="0.2">
      <c r="A42" s="72" t="s">
        <v>224</v>
      </c>
      <c r="AH42" s="5">
        <v>0</v>
      </c>
      <c r="AJ42" s="5">
        <v>62733</v>
      </c>
      <c r="AK42" s="5">
        <f>-549362</f>
        <v>-549362</v>
      </c>
      <c r="AL42" s="5">
        <f>SUM(AH42:AK42)</f>
        <v>-486629</v>
      </c>
      <c r="AN42" s="5">
        <v>12719</v>
      </c>
      <c r="AO42" s="5">
        <f>SUM(AL42:AN42)</f>
        <v>-473910</v>
      </c>
      <c r="AP42" s="10"/>
      <c r="AQ42" s="10">
        <v>12719</v>
      </c>
      <c r="AR42" s="5">
        <f>SUM(AO42:AQ42)</f>
        <v>-461191</v>
      </c>
      <c r="AS42" s="5">
        <v>0</v>
      </c>
      <c r="AT42" s="5">
        <f>SUM(AR42:AS42)</f>
        <v>-461191</v>
      </c>
      <c r="AU42" s="5">
        <v>12719</v>
      </c>
      <c r="AV42" s="5">
        <v>0</v>
      </c>
      <c r="AW42" s="5">
        <f t="shared" ref="AW42:AW43" si="51">SUM(AT42:AV42)</f>
        <v>-448472</v>
      </c>
      <c r="AX42" s="5">
        <f>-1</f>
        <v>-1</v>
      </c>
      <c r="AY42" s="5">
        <f t="shared" ref="AY42:AY43" si="52">SUM(AW42:AX42)</f>
        <v>-448473</v>
      </c>
      <c r="AZ42" s="5">
        <v>12719</v>
      </c>
      <c r="BA42" s="5">
        <v>0</v>
      </c>
      <c r="BB42" s="5">
        <f t="shared" ref="BB42:BB43" si="53">SUM(AY42:BA42)</f>
        <v>-435754</v>
      </c>
      <c r="BC42" s="5">
        <v>0</v>
      </c>
      <c r="BD42" s="5">
        <f t="shared" ref="BD42:BD43" si="54">SUM(BB42:BC42)</f>
        <v>-435754</v>
      </c>
      <c r="BE42" s="5">
        <v>12719</v>
      </c>
      <c r="BF42" s="5">
        <v>0</v>
      </c>
      <c r="BG42" s="5">
        <f t="shared" ref="BG42:BG43" si="55">SUM(BD42:BF42)</f>
        <v>-423035</v>
      </c>
      <c r="BH42" s="5">
        <v>50</v>
      </c>
      <c r="BI42" s="5">
        <f t="shared" ref="BI42:BI43" si="56">SUM(BG42:BH42)</f>
        <v>-422985</v>
      </c>
      <c r="BJ42" s="5">
        <f>'Page 8'!R29</f>
        <v>12719</v>
      </c>
      <c r="BK42" s="5">
        <f>SUM(BI42:BJ42)</f>
        <v>-410266</v>
      </c>
    </row>
    <row r="43" spans="1:63" x14ac:dyDescent="0.2">
      <c r="A43" s="72" t="s">
        <v>225</v>
      </c>
      <c r="AH43" s="5">
        <v>0</v>
      </c>
      <c r="AJ43" s="5">
        <v>245735</v>
      </c>
      <c r="AK43" s="5">
        <f>-250247</f>
        <v>-250247</v>
      </c>
      <c r="AL43" s="5">
        <f>SUM(AH43:AK43)</f>
        <v>-4512</v>
      </c>
      <c r="AN43" s="5">
        <v>4512</v>
      </c>
      <c r="AO43" s="5">
        <f>SUM(AL43:AN43)</f>
        <v>0</v>
      </c>
      <c r="AP43" s="10"/>
      <c r="AQ43" s="10">
        <v>0</v>
      </c>
      <c r="AR43" s="5">
        <f>SUM(AO43:AQ43)</f>
        <v>0</v>
      </c>
      <c r="AS43" s="5">
        <v>0</v>
      </c>
      <c r="AU43" s="5">
        <f>'Page 8'!R30</f>
        <v>0</v>
      </c>
      <c r="AV43" s="5">
        <v>0</v>
      </c>
      <c r="AW43" s="5">
        <f t="shared" si="51"/>
        <v>0</v>
      </c>
      <c r="AX43" s="5">
        <v>0</v>
      </c>
      <c r="AY43" s="5">
        <f t="shared" si="52"/>
        <v>0</v>
      </c>
      <c r="AZ43" s="5">
        <v>0</v>
      </c>
      <c r="BA43" s="5">
        <v>0</v>
      </c>
      <c r="BB43" s="5">
        <f t="shared" si="53"/>
        <v>0</v>
      </c>
      <c r="BD43" s="5">
        <f t="shared" si="54"/>
        <v>0</v>
      </c>
      <c r="BE43" s="5">
        <v>0</v>
      </c>
      <c r="BF43" s="5">
        <v>0</v>
      </c>
      <c r="BG43" s="5">
        <f t="shared" si="55"/>
        <v>0</v>
      </c>
      <c r="BH43" s="5">
        <v>0</v>
      </c>
      <c r="BI43" s="5">
        <f t="shared" si="56"/>
        <v>0</v>
      </c>
    </row>
    <row r="44" spans="1:63" ht="13.5" thickBot="1" x14ac:dyDescent="0.25">
      <c r="A44" s="72"/>
      <c r="AH44" s="98">
        <f>SUM(AH41:AH43)</f>
        <v>0</v>
      </c>
      <c r="AJ44" s="98">
        <f>SUM(AJ41:AJ43)</f>
        <v>1743203</v>
      </c>
      <c r="AK44" s="98">
        <f t="shared" ref="AK44:AL44" si="57">SUM(AK41:AK43)</f>
        <v>-14439546</v>
      </c>
      <c r="AL44" s="98">
        <f t="shared" si="57"/>
        <v>-12696343</v>
      </c>
      <c r="AM44" s="10"/>
      <c r="AN44" s="98">
        <f>SUM(AN41:AN43)</f>
        <v>226314</v>
      </c>
      <c r="AO44" s="98">
        <f>SUM(AO41:AO43)</f>
        <v>-12470029</v>
      </c>
      <c r="AP44" s="10"/>
      <c r="AQ44" s="98">
        <f t="shared" ref="AQ44:BK44" si="58">SUM(AQ41:AQ43)</f>
        <v>-299930</v>
      </c>
      <c r="AR44" s="98">
        <f t="shared" si="58"/>
        <v>-12769959</v>
      </c>
      <c r="AS44" s="98">
        <f t="shared" si="58"/>
        <v>65779</v>
      </c>
      <c r="AT44" s="98">
        <f t="shared" si="58"/>
        <v>-12704180</v>
      </c>
      <c r="AU44" s="98">
        <f t="shared" si="58"/>
        <v>385320</v>
      </c>
      <c r="AV44" s="98">
        <f>SUM(AV41:AV43)</f>
        <v>0</v>
      </c>
      <c r="AW44" s="98">
        <f t="shared" si="58"/>
        <v>-12318860</v>
      </c>
      <c r="AX44" s="98">
        <f>SUM(AX41:AX43)</f>
        <v>1329</v>
      </c>
      <c r="AY44" s="98">
        <f>SUM(AY41:AY43)</f>
        <v>-12317531</v>
      </c>
      <c r="AZ44" s="98">
        <f t="shared" si="58"/>
        <v>-459589</v>
      </c>
      <c r="BA44" s="98">
        <f t="shared" si="58"/>
        <v>752000</v>
      </c>
      <c r="BB44" s="98">
        <f t="shared" si="58"/>
        <v>-12025120</v>
      </c>
      <c r="BC44" s="98">
        <f t="shared" si="58"/>
        <v>-31706</v>
      </c>
      <c r="BD44" s="98">
        <f t="shared" si="58"/>
        <v>-12056826</v>
      </c>
      <c r="BE44" s="98">
        <f t="shared" si="58"/>
        <v>-1093805</v>
      </c>
      <c r="BF44" s="98">
        <f>SUM(BF41:BF43)</f>
        <v>-358888</v>
      </c>
      <c r="BG44" s="98">
        <f t="shared" si="58"/>
        <v>-13509519</v>
      </c>
      <c r="BH44" s="98">
        <f>SUM(BH41:BH43)</f>
        <v>-229767</v>
      </c>
      <c r="BI44" s="98">
        <f>SUM(BI41:BI43)</f>
        <v>-13739286</v>
      </c>
      <c r="BJ44" s="98">
        <f t="shared" si="58"/>
        <v>759371</v>
      </c>
      <c r="BK44" s="98">
        <f t="shared" si="58"/>
        <v>-12979915</v>
      </c>
    </row>
    <row r="45" spans="1:63" x14ac:dyDescent="0.2">
      <c r="AI45" s="10"/>
      <c r="AM45" s="10"/>
      <c r="AP45" s="10"/>
      <c r="AQ45" s="10"/>
      <c r="AS45" s="10"/>
      <c r="AT45" s="10"/>
    </row>
    <row r="46" spans="1:63" x14ac:dyDescent="0.2">
      <c r="AI46" s="10"/>
      <c r="AM46" s="10"/>
      <c r="AP46" s="10"/>
      <c r="AQ46" s="10"/>
      <c r="AS46" s="10"/>
      <c r="AT46" s="10"/>
    </row>
    <row r="47" spans="1:63" ht="13.5" thickBot="1" x14ac:dyDescent="0.25">
      <c r="A47" s="22" t="s">
        <v>51</v>
      </c>
      <c r="E47" s="9">
        <f t="shared" ref="E47:AG47" si="59">SUM(E7:E45)</f>
        <v>2581962</v>
      </c>
      <c r="F47" s="9">
        <f t="shared" si="59"/>
        <v>-249796</v>
      </c>
      <c r="G47" s="9">
        <f t="shared" si="59"/>
        <v>0</v>
      </c>
      <c r="H47" s="9">
        <f t="shared" si="59"/>
        <v>-608351</v>
      </c>
      <c r="I47" s="9">
        <f t="shared" si="59"/>
        <v>0</v>
      </c>
      <c r="J47" s="9">
        <f t="shared" si="59"/>
        <v>1723815</v>
      </c>
      <c r="K47" s="9">
        <f t="shared" si="59"/>
        <v>1507482</v>
      </c>
      <c r="L47" s="9">
        <f t="shared" si="59"/>
        <v>3231297</v>
      </c>
      <c r="M47" s="9">
        <f t="shared" si="59"/>
        <v>-2593896</v>
      </c>
      <c r="N47" s="9">
        <f t="shared" si="59"/>
        <v>2526570</v>
      </c>
      <c r="O47" s="9">
        <f t="shared" si="59"/>
        <v>3163971</v>
      </c>
      <c r="P47" s="9">
        <f t="shared" si="59"/>
        <v>744113</v>
      </c>
      <c r="Q47" s="9">
        <f t="shared" si="59"/>
        <v>3908084</v>
      </c>
      <c r="R47" s="9">
        <f t="shared" si="59"/>
        <v>-424231</v>
      </c>
      <c r="S47" s="9">
        <f t="shared" si="59"/>
        <v>-190481</v>
      </c>
      <c r="T47" s="9">
        <f t="shared" si="59"/>
        <v>3293372</v>
      </c>
      <c r="U47" s="9">
        <f t="shared" si="59"/>
        <v>0</v>
      </c>
      <c r="V47" s="9">
        <f t="shared" si="59"/>
        <v>-1875880</v>
      </c>
      <c r="W47" s="9">
        <f t="shared" si="59"/>
        <v>1417492</v>
      </c>
      <c r="X47" s="9">
        <f t="shared" si="59"/>
        <v>702758</v>
      </c>
      <c r="Y47" s="9">
        <f t="shared" si="59"/>
        <v>572000</v>
      </c>
      <c r="Z47" s="9">
        <f t="shared" si="59"/>
        <v>-3083425</v>
      </c>
      <c r="AA47" s="9">
        <f t="shared" si="59"/>
        <v>2523205</v>
      </c>
      <c r="AB47" s="9">
        <f t="shared" si="59"/>
        <v>2132030</v>
      </c>
      <c r="AC47" s="9">
        <f t="shared" si="59"/>
        <v>-1378892</v>
      </c>
      <c r="AD47" s="9">
        <f t="shared" si="59"/>
        <v>753138</v>
      </c>
      <c r="AE47" s="9">
        <f t="shared" si="59"/>
        <v>395000</v>
      </c>
      <c r="AF47" s="9">
        <f t="shared" si="59"/>
        <v>1148138</v>
      </c>
      <c r="AG47" s="9">
        <f t="shared" si="59"/>
        <v>245681</v>
      </c>
      <c r="AH47" s="9">
        <f>AH14+AH19+AH29+AH39+AH44</f>
        <v>185717</v>
      </c>
      <c r="AI47" s="10"/>
      <c r="AJ47" s="9">
        <f>AJ14+AJ19+AJ29+AJ39+AJ44</f>
        <v>-321405</v>
      </c>
      <c r="AK47" s="9">
        <f t="shared" ref="AK47:AL47" si="60">AK14+AK19+AK29+AK39+AK44</f>
        <v>0</v>
      </c>
      <c r="AL47" s="9">
        <f t="shared" si="60"/>
        <v>-135688</v>
      </c>
      <c r="AM47" s="10"/>
      <c r="AN47" s="9">
        <f>AN14+AN19+AN29+AN39+AN44</f>
        <v>-126625</v>
      </c>
      <c r="AO47" s="9">
        <f>AO14+AO19+AO29+AO39+AO44</f>
        <v>-262313</v>
      </c>
      <c r="AP47" s="10"/>
      <c r="AQ47" s="9">
        <f t="shared" ref="AQ47:AV47" si="61">AQ14+AQ19+AQ29+AQ39+AQ44</f>
        <v>-1230668</v>
      </c>
      <c r="AR47" s="9">
        <f t="shared" si="61"/>
        <v>-1492981</v>
      </c>
      <c r="AS47" s="9">
        <f t="shared" si="61"/>
        <v>1195301</v>
      </c>
      <c r="AT47" s="9">
        <f t="shared" si="61"/>
        <v>-297680</v>
      </c>
      <c r="AU47" s="9">
        <f t="shared" si="61"/>
        <v>-715593</v>
      </c>
      <c r="AV47" s="9">
        <f t="shared" si="61"/>
        <v>5940</v>
      </c>
      <c r="AW47" s="9">
        <f>SUM(AT47:AV47)</f>
        <v>-1007333</v>
      </c>
      <c r="AX47" s="9">
        <f>AX14+AX19+AX29+AX39+AX44</f>
        <v>133738</v>
      </c>
      <c r="AY47" s="9">
        <f>AY14+AY19+AY29+AY39+AY44</f>
        <v>-873595</v>
      </c>
      <c r="AZ47" s="9">
        <f>AZ14+AZ19+AZ29+AZ39+AZ44</f>
        <v>114268</v>
      </c>
      <c r="BA47" s="9">
        <f>BA14+BA19+BA29+BA39+BA44</f>
        <v>697000</v>
      </c>
      <c r="BB47" s="9">
        <f>BB14+BB19+BB29+BB39+BB44</f>
        <v>-62327</v>
      </c>
      <c r="BC47" s="9">
        <f t="shared" ref="BC47:BD47" si="62">BC14+BC19+BC29+BC39+BC44</f>
        <v>122654</v>
      </c>
      <c r="BD47" s="9">
        <f t="shared" si="62"/>
        <v>60327</v>
      </c>
      <c r="BE47" s="9">
        <f t="shared" ref="BE47:BK47" si="63">BE14+BE19+BE29+BE39+BE44</f>
        <v>5254</v>
      </c>
      <c r="BF47" s="9">
        <f t="shared" si="63"/>
        <v>0</v>
      </c>
      <c r="BG47" s="9">
        <f t="shared" si="63"/>
        <v>65581</v>
      </c>
      <c r="BH47" s="9">
        <f t="shared" si="63"/>
        <v>22291</v>
      </c>
      <c r="BI47" s="9">
        <f t="shared" si="63"/>
        <v>87872</v>
      </c>
      <c r="BJ47" s="9">
        <f t="shared" si="63"/>
        <v>448822.00000000012</v>
      </c>
      <c r="BK47" s="9">
        <f t="shared" si="63"/>
        <v>536694</v>
      </c>
    </row>
    <row r="48" spans="1:63" ht="13.5" thickTop="1" x14ac:dyDescent="0.2">
      <c r="AI48" s="10"/>
      <c r="AM48" s="10"/>
      <c r="AP48" s="10"/>
      <c r="AQ48" s="10"/>
      <c r="AS48" s="10"/>
      <c r="AT48" s="10"/>
    </row>
    <row r="49" spans="1:63" x14ac:dyDescent="0.2">
      <c r="AI49" s="10"/>
      <c r="AM49" s="10"/>
      <c r="AP49" s="10"/>
      <c r="AQ49" s="10"/>
      <c r="AS49" s="10"/>
      <c r="AT49" s="10"/>
    </row>
    <row r="50" spans="1:63" x14ac:dyDescent="0.2">
      <c r="A50" s="5" t="s">
        <v>37</v>
      </c>
      <c r="E50" s="5">
        <v>55</v>
      </c>
      <c r="F50" s="5">
        <v>12</v>
      </c>
      <c r="I50" s="5">
        <v>5</v>
      </c>
      <c r="J50" s="5">
        <f>SUM(E50:I50)</f>
        <v>72</v>
      </c>
      <c r="K50" s="5">
        <v>6</v>
      </c>
      <c r="L50" s="5">
        <f>SUM(J50:K50)</f>
        <v>78</v>
      </c>
      <c r="O50" s="5">
        <f>SUM(L50:N50)</f>
        <v>78</v>
      </c>
      <c r="P50" s="5">
        <v>7</v>
      </c>
      <c r="Q50" s="5">
        <f>SUM(O50:P50)</f>
        <v>85</v>
      </c>
      <c r="R50" s="5">
        <v>0</v>
      </c>
      <c r="S50" s="5">
        <f>-2</f>
        <v>-2</v>
      </c>
      <c r="T50" s="5">
        <f>SUM(Q50:S50)</f>
        <v>83</v>
      </c>
      <c r="U50" s="5">
        <v>0</v>
      </c>
      <c r="V50" s="5">
        <v>0</v>
      </c>
      <c r="W50" s="5">
        <f>SUM(T50:V50)</f>
        <v>83</v>
      </c>
      <c r="X50" s="5">
        <v>-7</v>
      </c>
      <c r="Y50" s="5">
        <v>0</v>
      </c>
      <c r="Z50" s="5">
        <v>0</v>
      </c>
      <c r="AA50" s="5">
        <v>7</v>
      </c>
      <c r="AB50" s="5">
        <f>SUM(W50:AA50)</f>
        <v>83</v>
      </c>
      <c r="AD50" s="5">
        <f>SUM(AB50:AC50)</f>
        <v>83</v>
      </c>
      <c r="AF50" s="5">
        <f>SUM(AD50:AE50)</f>
        <v>83</v>
      </c>
      <c r="AG50" s="5">
        <f>-4</f>
        <v>-4</v>
      </c>
      <c r="AH50" s="5">
        <v>81</v>
      </c>
      <c r="AI50" s="10"/>
      <c r="AJ50" s="5">
        <v>0</v>
      </c>
      <c r="AK50" s="5">
        <v>0</v>
      </c>
      <c r="AL50" s="5">
        <f>SUM(AH50:AK50)</f>
        <v>81</v>
      </c>
      <c r="AM50" s="10"/>
      <c r="AN50" s="5">
        <v>2</v>
      </c>
      <c r="AO50" s="5">
        <f>SUM(AL50:AN50)</f>
        <v>83</v>
      </c>
      <c r="AP50" s="10"/>
      <c r="AQ50" s="10">
        <v>0</v>
      </c>
      <c r="AR50" s="5">
        <f>SUM(AO50:AQ50)</f>
        <v>83</v>
      </c>
      <c r="AS50" s="5">
        <v>1</v>
      </c>
      <c r="AT50" s="5">
        <f>SUM(AR50:AS50)</f>
        <v>84</v>
      </c>
      <c r="AU50" s="5">
        <v>0</v>
      </c>
      <c r="AV50" s="5">
        <v>0</v>
      </c>
      <c r="AW50" s="5">
        <f>SUM(AT50:AV50)</f>
        <v>84</v>
      </c>
      <c r="AX50" s="5">
        <f>-5</f>
        <v>-5</v>
      </c>
      <c r="AY50" s="5">
        <f>SUM(AW50:AX50)</f>
        <v>79</v>
      </c>
      <c r="AZ50" s="5">
        <v>0</v>
      </c>
      <c r="BA50" s="5">
        <v>0</v>
      </c>
      <c r="BB50" s="5">
        <f>SUM(AY50:BA50)</f>
        <v>79</v>
      </c>
      <c r="BC50" s="5">
        <f>-7</f>
        <v>-7</v>
      </c>
      <c r="BD50" s="5">
        <f>SUM(BB50:BC50)</f>
        <v>72</v>
      </c>
      <c r="BE50" s="5">
        <v>0</v>
      </c>
      <c r="BF50" s="5">
        <v>0</v>
      </c>
      <c r="BG50" s="5">
        <f>SUM(BD50:BF50)</f>
        <v>72</v>
      </c>
      <c r="BH50" s="5">
        <f>-12</f>
        <v>-12</v>
      </c>
      <c r="BI50" s="5">
        <f>SUM(BG50:BH50)</f>
        <v>60</v>
      </c>
      <c r="BJ50" s="5">
        <v>0</v>
      </c>
      <c r="BK50" s="5">
        <f>SUM(BI50:BJ50)</f>
        <v>60</v>
      </c>
    </row>
    <row r="51" spans="1:63" x14ac:dyDescent="0.2">
      <c r="A51" s="5" t="s">
        <v>38</v>
      </c>
      <c r="E51" s="5">
        <v>604814</v>
      </c>
      <c r="F51" s="5">
        <v>741452</v>
      </c>
      <c r="H51" s="5">
        <v>1368742</v>
      </c>
      <c r="I51" s="5">
        <f>-991260</f>
        <v>-991260</v>
      </c>
      <c r="J51" s="5">
        <f>SUM(E51:I51)</f>
        <v>1723748</v>
      </c>
      <c r="K51" s="5">
        <v>521643</v>
      </c>
      <c r="L51" s="5">
        <f>SUM(J51:K51)</f>
        <v>2245391</v>
      </c>
      <c r="M51" s="5">
        <f>-2593896</f>
        <v>-2593896</v>
      </c>
      <c r="N51" s="5">
        <f>2469570+57000</f>
        <v>2526570</v>
      </c>
      <c r="O51" s="5">
        <f>SUM(L51:N51)</f>
        <v>2178065</v>
      </c>
      <c r="P51" s="5">
        <f>-1855894</f>
        <v>-1855894</v>
      </c>
      <c r="Q51" s="5">
        <f>SUM(O51:P51)</f>
        <v>322171</v>
      </c>
      <c r="R51" s="5">
        <f>-1684231</f>
        <v>-1684231</v>
      </c>
      <c r="S51" s="5">
        <v>1462060</v>
      </c>
      <c r="T51" s="5">
        <f>SUM(Q51:S51)</f>
        <v>100000</v>
      </c>
      <c r="U51" s="5">
        <v>0</v>
      </c>
      <c r="V51" s="5">
        <v>1709953</v>
      </c>
      <c r="W51" s="5">
        <f>SUM(T51:V51)</f>
        <v>1809953</v>
      </c>
      <c r="X51" s="72">
        <f>-1683065</f>
        <v>-1683065</v>
      </c>
      <c r="Y51" s="5">
        <f>205000+5000-67000</f>
        <v>143000</v>
      </c>
      <c r="Z51" s="5">
        <v>-3235964</v>
      </c>
      <c r="AA51" s="5">
        <v>5338028</v>
      </c>
      <c r="AB51" s="5">
        <f t="shared" ref="AB51:AB54" si="64">SUM(W51:AA51)</f>
        <v>2371952</v>
      </c>
      <c r="AC51" s="5">
        <v>-1378892</v>
      </c>
      <c r="AD51" s="5">
        <f t="shared" ref="AD51:AD54" si="65">SUM(AB51:AC51)</f>
        <v>993060</v>
      </c>
      <c r="AE51" s="5">
        <v>395000</v>
      </c>
      <c r="AF51" s="5">
        <f t="shared" ref="AF51:AF54" si="66">SUM(AD51:AE51)</f>
        <v>1388060</v>
      </c>
      <c r="AG51" s="5">
        <v>245685</v>
      </c>
      <c r="AH51" s="5">
        <v>316636</v>
      </c>
      <c r="AI51" s="10"/>
      <c r="AJ51" s="5">
        <f>-321405</f>
        <v>-321405</v>
      </c>
      <c r="AK51" s="5">
        <v>0</v>
      </c>
      <c r="AL51" s="5">
        <f t="shared" ref="AL51:AL54" si="67">SUM(AH51:AK51)</f>
        <v>-4769</v>
      </c>
      <c r="AM51" s="10"/>
      <c r="AN51" s="5">
        <f>-85627</f>
        <v>-85627</v>
      </c>
      <c r="AO51" s="5">
        <f t="shared" ref="AO51:AO54" si="68">SUM(AL51:AN51)</f>
        <v>-90396</v>
      </c>
      <c r="AP51" s="10"/>
      <c r="AQ51" s="10">
        <f>-1230668</f>
        <v>-1230668</v>
      </c>
      <c r="AR51" s="5">
        <f t="shared" ref="AR51:AR54" si="69">SUM(AO51:AQ51)</f>
        <v>-1321064</v>
      </c>
      <c r="AS51" s="5">
        <v>1184300</v>
      </c>
      <c r="AT51" s="5">
        <f t="shared" ref="AT51:AT54" si="70">SUM(AR51:AS51)</f>
        <v>-136764</v>
      </c>
      <c r="AU51" s="5">
        <f>-715593</f>
        <v>-715593</v>
      </c>
      <c r="AV51" s="5">
        <f>6000-60</f>
        <v>5940</v>
      </c>
      <c r="AW51" s="5">
        <f t="shared" ref="AW51:AW54" si="71">SUM(AT51:AV51)</f>
        <v>-846417</v>
      </c>
      <c r="AX51" s="5">
        <v>169743</v>
      </c>
      <c r="AY51" s="5">
        <f t="shared" ref="AY51:AY54" si="72">SUM(AW51:AX51)</f>
        <v>-676674</v>
      </c>
      <c r="AZ51" s="5">
        <v>114268</v>
      </c>
      <c r="BA51" s="5">
        <v>500000</v>
      </c>
      <c r="BB51" s="5">
        <f t="shared" ref="BB51:BB54" si="73">SUM(AY51:BA51)</f>
        <v>-62406</v>
      </c>
      <c r="BC51" s="5">
        <v>122661</v>
      </c>
      <c r="BD51" s="5">
        <f t="shared" ref="BD51:BD54" si="74">SUM(BB51:BC51)</f>
        <v>60255</v>
      </c>
      <c r="BE51" s="5">
        <v>5254</v>
      </c>
      <c r="BF51" s="5">
        <v>0</v>
      </c>
      <c r="BG51" s="5">
        <f t="shared" ref="BG51:BG54" si="75">SUM(BD51:BF51)</f>
        <v>65509</v>
      </c>
      <c r="BH51" s="5">
        <v>411303</v>
      </c>
      <c r="BI51" s="5">
        <f t="shared" ref="BI51:BI54" si="76">SUM(BG51:BH51)</f>
        <v>476812</v>
      </c>
      <c r="BJ51" s="5">
        <f>'Page 1'!F28-BJ53</f>
        <v>401005.16</v>
      </c>
      <c r="BK51" s="5">
        <f t="shared" ref="BK51:BK54" si="77">SUM(BI51:BJ51)</f>
        <v>877817.15999999992</v>
      </c>
    </row>
    <row r="52" spans="1:63" x14ac:dyDescent="0.2">
      <c r="A52" s="5" t="s">
        <v>43</v>
      </c>
      <c r="E52" s="5">
        <v>1977093</v>
      </c>
      <c r="F52" s="5">
        <f>-991260</f>
        <v>-991260</v>
      </c>
      <c r="H52" s="5">
        <f>-1977093</f>
        <v>-1977093</v>
      </c>
      <c r="I52" s="5">
        <v>991260</v>
      </c>
      <c r="J52" s="5">
        <f>SUM(E52:I52)</f>
        <v>0</v>
      </c>
      <c r="K52" s="5">
        <v>985833</v>
      </c>
      <c r="L52" s="5">
        <f>SUM(J52:K52)</f>
        <v>985833</v>
      </c>
      <c r="M52" s="5">
        <v>0</v>
      </c>
      <c r="O52" s="5">
        <f>SUM(L52:N52)</f>
        <v>985833</v>
      </c>
      <c r="P52" s="5">
        <v>2600000</v>
      </c>
      <c r="Q52" s="5">
        <f>SUM(O52:P52)</f>
        <v>3585833</v>
      </c>
      <c r="R52" s="5">
        <v>1500000</v>
      </c>
      <c r="S52" s="5">
        <f>-1652539</f>
        <v>-1652539</v>
      </c>
      <c r="T52" s="5">
        <f>SUM(Q52:S52)</f>
        <v>3433294</v>
      </c>
      <c r="U52" s="5">
        <v>0</v>
      </c>
      <c r="V52" s="5">
        <f>-3585833</f>
        <v>-3585833</v>
      </c>
      <c r="W52" s="5">
        <f>SUM(T52:V52)</f>
        <v>-152539</v>
      </c>
      <c r="X52" s="5">
        <v>2385830</v>
      </c>
      <c r="Y52" s="5">
        <f>615000+15000-201000</f>
        <v>429000</v>
      </c>
      <c r="Z52" s="5">
        <v>152539</v>
      </c>
      <c r="AA52" s="5">
        <f>-2814830</f>
        <v>-2814830</v>
      </c>
      <c r="AB52" s="5">
        <f t="shared" si="64"/>
        <v>0</v>
      </c>
      <c r="AF52" s="5">
        <f t="shared" si="66"/>
        <v>0</v>
      </c>
      <c r="AH52" s="5">
        <v>0</v>
      </c>
      <c r="AI52" s="10"/>
      <c r="AJ52" s="5">
        <v>0</v>
      </c>
      <c r="AK52" s="5">
        <v>0</v>
      </c>
      <c r="AL52" s="5">
        <f t="shared" si="67"/>
        <v>0</v>
      </c>
      <c r="AM52" s="10"/>
      <c r="AN52" s="5">
        <v>0</v>
      </c>
      <c r="AO52" s="5">
        <f t="shared" si="68"/>
        <v>0</v>
      </c>
      <c r="AP52" s="10"/>
      <c r="AQ52" s="10">
        <v>0</v>
      </c>
      <c r="AR52" s="5">
        <f t="shared" si="69"/>
        <v>0</v>
      </c>
      <c r="AS52" s="5">
        <v>0</v>
      </c>
      <c r="AT52" s="5">
        <f t="shared" si="70"/>
        <v>0</v>
      </c>
      <c r="AU52" s="5">
        <v>0</v>
      </c>
      <c r="AV52" s="5">
        <v>0</v>
      </c>
      <c r="AW52" s="5">
        <f t="shared" si="71"/>
        <v>0</v>
      </c>
      <c r="AX52" s="5">
        <v>0</v>
      </c>
      <c r="AY52" s="5">
        <f t="shared" si="72"/>
        <v>0</v>
      </c>
      <c r="AZ52" s="5">
        <v>0</v>
      </c>
      <c r="BA52" s="5">
        <v>0</v>
      </c>
      <c r="BB52" s="5">
        <f t="shared" si="73"/>
        <v>0</v>
      </c>
      <c r="BC52" s="5">
        <v>0</v>
      </c>
      <c r="BD52" s="5">
        <f t="shared" si="74"/>
        <v>0</v>
      </c>
      <c r="BE52" s="5">
        <v>0</v>
      </c>
      <c r="BF52" s="5">
        <v>0</v>
      </c>
      <c r="BG52" s="5">
        <f t="shared" si="75"/>
        <v>0</v>
      </c>
      <c r="BH52" s="5">
        <v>0</v>
      </c>
      <c r="BI52" s="5">
        <f t="shared" si="76"/>
        <v>0</v>
      </c>
      <c r="BJ52" s="5">
        <v>0</v>
      </c>
      <c r="BK52" s="5">
        <f t="shared" si="77"/>
        <v>0</v>
      </c>
    </row>
    <row r="53" spans="1:63" x14ac:dyDescent="0.2">
      <c r="A53" s="72" t="s">
        <v>547</v>
      </c>
      <c r="AI53" s="10"/>
      <c r="AM53" s="10"/>
      <c r="AP53" s="10"/>
      <c r="AQ53" s="10"/>
      <c r="BD53" s="5">
        <v>0</v>
      </c>
      <c r="BE53" s="5">
        <v>0</v>
      </c>
      <c r="BF53" s="5">
        <v>0</v>
      </c>
      <c r="BG53" s="5">
        <v>0</v>
      </c>
      <c r="BH53" s="5">
        <f>-389000</f>
        <v>-389000</v>
      </c>
      <c r="BI53" s="5">
        <f>SUM(BG53:BH53)</f>
        <v>-389000</v>
      </c>
      <c r="BJ53" s="5">
        <f>BJ37</f>
        <v>47816.840000000004</v>
      </c>
      <c r="BK53" s="5">
        <f t="shared" si="77"/>
        <v>-341183.16</v>
      </c>
    </row>
    <row r="54" spans="1:63" x14ac:dyDescent="0.2">
      <c r="A54" s="72" t="s">
        <v>232</v>
      </c>
      <c r="O54" s="5">
        <v>0</v>
      </c>
      <c r="P54" s="5">
        <f>-76000</f>
        <v>-76000</v>
      </c>
      <c r="Q54" s="5">
        <f>SUM(O54:P54)</f>
        <v>-76000</v>
      </c>
      <c r="R54" s="5">
        <v>0</v>
      </c>
      <c r="S54" s="5">
        <f>-93000</f>
        <v>-93000</v>
      </c>
      <c r="T54" s="5">
        <f>SUM(Q54:S54)</f>
        <v>-169000</v>
      </c>
      <c r="U54" s="5">
        <v>0</v>
      </c>
      <c r="V54" s="5">
        <v>0</v>
      </c>
      <c r="W54" s="5">
        <f>SUM(T54:V54)</f>
        <v>-169000</v>
      </c>
      <c r="X54" s="5">
        <v>73000</v>
      </c>
      <c r="Z54" s="5">
        <v>0</v>
      </c>
      <c r="AA54" s="5">
        <v>4000</v>
      </c>
      <c r="AB54" s="5">
        <f t="shared" si="64"/>
        <v>-92000</v>
      </c>
      <c r="AD54" s="5">
        <f t="shared" si="65"/>
        <v>-92000</v>
      </c>
      <c r="AF54" s="5">
        <f t="shared" si="66"/>
        <v>-92000</v>
      </c>
      <c r="AG54" s="5">
        <f>-22000</f>
        <v>-22000</v>
      </c>
      <c r="AH54" s="5">
        <f>-131000</f>
        <v>-131000</v>
      </c>
      <c r="AI54" s="10"/>
      <c r="AJ54" s="5">
        <v>0</v>
      </c>
      <c r="AK54" s="5">
        <v>0</v>
      </c>
      <c r="AL54" s="5">
        <f t="shared" si="67"/>
        <v>-131000</v>
      </c>
      <c r="AM54" s="10"/>
      <c r="AN54" s="5">
        <f>-41000</f>
        <v>-41000</v>
      </c>
      <c r="AO54" s="5">
        <f t="shared" si="68"/>
        <v>-172000</v>
      </c>
      <c r="AP54" s="10"/>
      <c r="AQ54" s="10">
        <v>0</v>
      </c>
      <c r="AR54" s="5">
        <f t="shared" si="69"/>
        <v>-172000</v>
      </c>
      <c r="AS54" s="5">
        <v>11000</v>
      </c>
      <c r="AT54" s="5">
        <f t="shared" si="70"/>
        <v>-161000</v>
      </c>
      <c r="AU54" s="5">
        <v>0</v>
      </c>
      <c r="AV54" s="5">
        <v>0</v>
      </c>
      <c r="AW54" s="5">
        <f t="shared" si="71"/>
        <v>-161000</v>
      </c>
      <c r="AX54" s="5">
        <f>-36000</f>
        <v>-36000</v>
      </c>
      <c r="AY54" s="5">
        <f t="shared" si="72"/>
        <v>-197000</v>
      </c>
      <c r="AZ54" s="5">
        <v>0</v>
      </c>
      <c r="BA54" s="5">
        <v>197000</v>
      </c>
      <c r="BB54" s="5">
        <f t="shared" si="73"/>
        <v>0</v>
      </c>
      <c r="BC54" s="5">
        <v>0</v>
      </c>
      <c r="BD54" s="5">
        <f t="shared" si="74"/>
        <v>0</v>
      </c>
      <c r="BE54" s="5">
        <v>0</v>
      </c>
      <c r="BF54" s="5">
        <v>0</v>
      </c>
      <c r="BG54" s="5">
        <f t="shared" si="75"/>
        <v>0</v>
      </c>
      <c r="BH54" s="5">
        <v>0</v>
      </c>
      <c r="BI54" s="5">
        <f t="shared" si="76"/>
        <v>0</v>
      </c>
      <c r="BJ54" s="5">
        <v>0</v>
      </c>
      <c r="BK54" s="5">
        <f t="shared" si="77"/>
        <v>0</v>
      </c>
    </row>
    <row r="55" spans="1:63" x14ac:dyDescent="0.2">
      <c r="A55" s="14"/>
      <c r="AI55" s="10"/>
      <c r="AM55" s="10"/>
      <c r="AP55" s="10"/>
      <c r="AQ55" s="10"/>
    </row>
    <row r="56" spans="1:63" ht="13.5" thickBot="1" x14ac:dyDescent="0.25">
      <c r="E56" s="9">
        <f t="shared" ref="E56:Q56" si="78">SUM(E50:E54)</f>
        <v>2581962</v>
      </c>
      <c r="F56" s="9">
        <f t="shared" si="78"/>
        <v>-249796</v>
      </c>
      <c r="G56" s="9">
        <f t="shared" si="78"/>
        <v>0</v>
      </c>
      <c r="H56" s="9">
        <f t="shared" si="78"/>
        <v>-608351</v>
      </c>
      <c r="I56" s="9">
        <f t="shared" si="78"/>
        <v>5</v>
      </c>
      <c r="J56" s="9">
        <f t="shared" si="78"/>
        <v>1723820</v>
      </c>
      <c r="K56" s="9">
        <f t="shared" si="78"/>
        <v>1507482</v>
      </c>
      <c r="L56" s="9">
        <f t="shared" si="78"/>
        <v>3231302</v>
      </c>
      <c r="M56" s="9">
        <f t="shared" si="78"/>
        <v>-2593896</v>
      </c>
      <c r="N56" s="9">
        <f t="shared" si="78"/>
        <v>2526570</v>
      </c>
      <c r="O56" s="9">
        <f t="shared" si="78"/>
        <v>3163976</v>
      </c>
      <c r="P56" s="9">
        <f t="shared" si="78"/>
        <v>668113</v>
      </c>
      <c r="Q56" s="9">
        <f t="shared" si="78"/>
        <v>3832089</v>
      </c>
      <c r="R56" s="9">
        <f t="shared" ref="R56:Y56" si="79">SUM(R50:R54)</f>
        <v>-184231</v>
      </c>
      <c r="S56" s="9">
        <f t="shared" si="79"/>
        <v>-283481</v>
      </c>
      <c r="T56" s="9">
        <f t="shared" si="79"/>
        <v>3364377</v>
      </c>
      <c r="U56" s="9">
        <f t="shared" si="79"/>
        <v>0</v>
      </c>
      <c r="V56" s="9">
        <f t="shared" si="79"/>
        <v>-1875880</v>
      </c>
      <c r="W56" s="9">
        <f t="shared" si="79"/>
        <v>1488497</v>
      </c>
      <c r="X56" s="9">
        <f t="shared" si="79"/>
        <v>775758</v>
      </c>
      <c r="Y56" s="9">
        <f t="shared" si="79"/>
        <v>572000</v>
      </c>
      <c r="Z56" s="9">
        <f t="shared" ref="Z56:AG56" si="80">SUM(Z50:Z54)</f>
        <v>-3083425</v>
      </c>
      <c r="AA56" s="9">
        <f t="shared" si="80"/>
        <v>2527205</v>
      </c>
      <c r="AB56" s="9">
        <f t="shared" si="80"/>
        <v>2280035</v>
      </c>
      <c r="AC56" s="9">
        <f t="shared" si="80"/>
        <v>-1378892</v>
      </c>
      <c r="AD56" s="9">
        <f t="shared" si="80"/>
        <v>901143</v>
      </c>
      <c r="AE56" s="9">
        <f t="shared" si="80"/>
        <v>395000</v>
      </c>
      <c r="AF56" s="9">
        <f t="shared" si="80"/>
        <v>1296143</v>
      </c>
      <c r="AG56" s="9">
        <f t="shared" si="80"/>
        <v>223681</v>
      </c>
      <c r="AH56" s="9">
        <f>SUM(AH50:AH55)</f>
        <v>185717</v>
      </c>
      <c r="AI56" s="10"/>
      <c r="AJ56" s="9">
        <f>SUM(AJ50:AJ55)</f>
        <v>-321405</v>
      </c>
      <c r="AK56" s="9">
        <f t="shared" ref="AK56:AL56" si="81">SUM(AK50:AK55)</f>
        <v>0</v>
      </c>
      <c r="AL56" s="9">
        <f t="shared" si="81"/>
        <v>-135688</v>
      </c>
      <c r="AM56" s="10"/>
      <c r="AN56" s="9">
        <f>SUM(AN50:AN55)</f>
        <v>-126625</v>
      </c>
      <c r="AO56" s="9">
        <f>SUM(AO50:AO55)</f>
        <v>-262313</v>
      </c>
      <c r="AP56" s="10"/>
      <c r="AQ56" s="9">
        <f>SUM(AQ50:AQ55)</f>
        <v>-1230668</v>
      </c>
      <c r="AR56" s="9">
        <f>SUM(AR50:AR55)</f>
        <v>-1492981</v>
      </c>
      <c r="AS56" s="9">
        <f>SUM(AS50:AS55)</f>
        <v>1195301</v>
      </c>
      <c r="AT56" s="9">
        <f>SUM(AT50:AT55)</f>
        <v>-297680</v>
      </c>
      <c r="AU56" s="9">
        <f>SUM(AU50:AU54)</f>
        <v>-715593</v>
      </c>
      <c r="AV56" s="9">
        <f>SUM(AV50:AV55)</f>
        <v>5940</v>
      </c>
      <c r="AW56" s="9">
        <f>SUM(AT56:AV56)</f>
        <v>-1007333</v>
      </c>
      <c r="AX56" s="9">
        <f>SUM(AX50:AX55)</f>
        <v>133738</v>
      </c>
      <c r="AY56" s="9">
        <f>SUM(AY50:AY55)</f>
        <v>-873595</v>
      </c>
      <c r="AZ56" s="9">
        <f t="shared" ref="AZ56:BK56" si="82">SUM(AZ50:AZ54)</f>
        <v>114268</v>
      </c>
      <c r="BA56" s="9">
        <f t="shared" si="82"/>
        <v>697000</v>
      </c>
      <c r="BB56" s="9">
        <f t="shared" si="82"/>
        <v>-62327</v>
      </c>
      <c r="BC56" s="9">
        <f t="shared" si="82"/>
        <v>122654</v>
      </c>
      <c r="BD56" s="9">
        <f t="shared" si="82"/>
        <v>60327</v>
      </c>
      <c r="BE56" s="9">
        <f t="shared" si="82"/>
        <v>5254</v>
      </c>
      <c r="BF56" s="9">
        <f t="shared" si="82"/>
        <v>0</v>
      </c>
      <c r="BG56" s="9">
        <f t="shared" si="82"/>
        <v>65581</v>
      </c>
      <c r="BH56" s="9">
        <f t="shared" si="82"/>
        <v>22291</v>
      </c>
      <c r="BI56" s="9">
        <f t="shared" si="82"/>
        <v>87872</v>
      </c>
      <c r="BJ56" s="9">
        <f t="shared" si="82"/>
        <v>448822</v>
      </c>
      <c r="BK56" s="9">
        <f t="shared" si="82"/>
        <v>536694</v>
      </c>
    </row>
    <row r="57" spans="1:63" ht="13.5" thickTop="1" x14ac:dyDescent="0.2">
      <c r="A57" s="22"/>
      <c r="AI57" s="10"/>
      <c r="AM57" s="10"/>
    </row>
    <row r="58" spans="1:63" x14ac:dyDescent="0.2">
      <c r="E58" s="5">
        <f t="shared" ref="E58:AG58" si="83">E47-E56</f>
        <v>0</v>
      </c>
      <c r="F58" s="5">
        <f t="shared" si="83"/>
        <v>0</v>
      </c>
      <c r="G58" s="5">
        <f t="shared" si="83"/>
        <v>0</v>
      </c>
      <c r="H58" s="5">
        <f t="shared" si="83"/>
        <v>0</v>
      </c>
      <c r="I58" s="5">
        <f t="shared" si="83"/>
        <v>-5</v>
      </c>
      <c r="J58" s="5">
        <f t="shared" si="83"/>
        <v>-5</v>
      </c>
      <c r="K58" s="5">
        <f t="shared" si="83"/>
        <v>0</v>
      </c>
      <c r="L58" s="5">
        <f t="shared" si="83"/>
        <v>-5</v>
      </c>
      <c r="M58" s="5">
        <f t="shared" si="83"/>
        <v>0</v>
      </c>
      <c r="N58" s="5">
        <f t="shared" si="83"/>
        <v>0</v>
      </c>
      <c r="O58" s="5">
        <f t="shared" si="83"/>
        <v>-5</v>
      </c>
      <c r="P58" s="5">
        <f t="shared" si="83"/>
        <v>76000</v>
      </c>
      <c r="Q58" s="5">
        <f t="shared" si="83"/>
        <v>75995</v>
      </c>
      <c r="R58" s="5">
        <f t="shared" si="83"/>
        <v>-240000</v>
      </c>
      <c r="S58" s="5">
        <f t="shared" si="83"/>
        <v>93000</v>
      </c>
      <c r="T58" s="5">
        <f t="shared" si="83"/>
        <v>-71005</v>
      </c>
      <c r="U58" s="5">
        <f t="shared" si="83"/>
        <v>0</v>
      </c>
      <c r="V58" s="5">
        <f t="shared" si="83"/>
        <v>0</v>
      </c>
      <c r="W58" s="5">
        <f t="shared" si="83"/>
        <v>-71005</v>
      </c>
      <c r="X58" s="5">
        <f t="shared" si="83"/>
        <v>-73000</v>
      </c>
      <c r="Y58" s="5">
        <f t="shared" si="83"/>
        <v>0</v>
      </c>
      <c r="Z58" s="5">
        <f t="shared" si="83"/>
        <v>0</v>
      </c>
      <c r="AA58" s="5">
        <f t="shared" si="83"/>
        <v>-4000</v>
      </c>
      <c r="AB58" s="5">
        <f t="shared" si="83"/>
        <v>-148005</v>
      </c>
      <c r="AC58" s="5">
        <f t="shared" si="83"/>
        <v>0</v>
      </c>
      <c r="AD58" s="5">
        <f t="shared" si="83"/>
        <v>-148005</v>
      </c>
      <c r="AE58" s="5">
        <f t="shared" si="83"/>
        <v>0</v>
      </c>
      <c r="AF58" s="5">
        <f t="shared" si="83"/>
        <v>-148005</v>
      </c>
      <c r="AG58" s="5">
        <f t="shared" si="83"/>
        <v>22000</v>
      </c>
      <c r="AI58" s="10"/>
      <c r="AM58" s="10"/>
    </row>
    <row r="59" spans="1:63" x14ac:dyDescent="0.2">
      <c r="AH59" s="5">
        <f>AH47-AH56</f>
        <v>0</v>
      </c>
      <c r="AJ59" s="5">
        <f t="shared" ref="AJ59:BK59" si="84">AJ47-AJ56</f>
        <v>0</v>
      </c>
      <c r="AK59" s="5">
        <f t="shared" si="84"/>
        <v>0</v>
      </c>
      <c r="AL59" s="5">
        <f t="shared" si="84"/>
        <v>0</v>
      </c>
      <c r="AN59" s="5">
        <f t="shared" si="84"/>
        <v>0</v>
      </c>
      <c r="AO59" s="5">
        <f t="shared" si="84"/>
        <v>0</v>
      </c>
      <c r="AQ59" s="5">
        <f t="shared" si="84"/>
        <v>0</v>
      </c>
      <c r="AR59" s="5">
        <f t="shared" si="84"/>
        <v>0</v>
      </c>
      <c r="AS59" s="5">
        <f t="shared" si="84"/>
        <v>0</v>
      </c>
      <c r="AT59" s="5">
        <f t="shared" si="84"/>
        <v>0</v>
      </c>
      <c r="AU59" s="5">
        <f t="shared" si="84"/>
        <v>0</v>
      </c>
      <c r="AV59" s="5">
        <f t="shared" si="84"/>
        <v>0</v>
      </c>
      <c r="AW59" s="5">
        <f t="shared" si="84"/>
        <v>0</v>
      </c>
      <c r="AX59" s="5">
        <f t="shared" si="84"/>
        <v>0</v>
      </c>
      <c r="AY59" s="5">
        <f t="shared" si="84"/>
        <v>0</v>
      </c>
      <c r="AZ59" s="5">
        <f t="shared" si="84"/>
        <v>0</v>
      </c>
      <c r="BA59" s="5">
        <f t="shared" si="84"/>
        <v>0</v>
      </c>
      <c r="BB59" s="5">
        <f t="shared" si="84"/>
        <v>0</v>
      </c>
      <c r="BC59" s="5">
        <f t="shared" si="84"/>
        <v>0</v>
      </c>
      <c r="BD59" s="5">
        <f t="shared" si="84"/>
        <v>0</v>
      </c>
      <c r="BE59" s="5">
        <f t="shared" si="84"/>
        <v>0</v>
      </c>
      <c r="BF59" s="5">
        <f t="shared" si="84"/>
        <v>0</v>
      </c>
      <c r="BG59" s="5">
        <f t="shared" si="84"/>
        <v>0</v>
      </c>
      <c r="BH59" s="5">
        <f t="shared" si="84"/>
        <v>0</v>
      </c>
      <c r="BI59" s="5">
        <f t="shared" si="84"/>
        <v>0</v>
      </c>
      <c r="BJ59" s="5">
        <f t="shared" si="84"/>
        <v>0</v>
      </c>
      <c r="BK59" s="5">
        <f t="shared" si="84"/>
        <v>0</v>
      </c>
    </row>
    <row r="64" spans="1:63" x14ac:dyDescent="0.2">
      <c r="AM64" s="10"/>
    </row>
  </sheetData>
  <phoneticPr fontId="0" type="noConversion"/>
  <pageMargins left="0.75" right="0.75" top="1" bottom="1" header="0.5" footer="0.5"/>
  <pageSetup paperSize="9" scale="63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" workbookViewId="0">
      <selection activeCell="J21" sqref="J21"/>
    </sheetView>
  </sheetViews>
  <sheetFormatPr defaultRowHeight="12.75" x14ac:dyDescent="0.2"/>
  <cols>
    <col min="1" max="5" width="9.140625" style="5"/>
    <col min="6" max="6" width="12" style="5" customWidth="1"/>
    <col min="7" max="7" width="9.140625" style="5"/>
    <col min="8" max="8" width="10.85546875" style="5" bestFit="1" customWidth="1"/>
    <col min="9" max="16384" width="9.140625" style="5"/>
  </cols>
  <sheetData>
    <row r="1" spans="1:8" ht="15.75" x14ac:dyDescent="0.25">
      <c r="A1" s="39" t="s">
        <v>27</v>
      </c>
    </row>
    <row r="2" spans="1:8" ht="15.75" x14ac:dyDescent="0.25">
      <c r="A2" s="39" t="s">
        <v>487</v>
      </c>
    </row>
    <row r="4" spans="1:8" x14ac:dyDescent="0.2">
      <c r="F4" s="51" t="s">
        <v>568</v>
      </c>
      <c r="G4" s="51"/>
      <c r="H4" s="51" t="s">
        <v>570</v>
      </c>
    </row>
    <row r="5" spans="1:8" x14ac:dyDescent="0.2">
      <c r="F5" s="51" t="s">
        <v>256</v>
      </c>
      <c r="G5" s="51"/>
      <c r="H5" s="51" t="s">
        <v>256</v>
      </c>
    </row>
    <row r="7" spans="1:8" x14ac:dyDescent="0.2">
      <c r="F7" s="52" t="str">
        <f>'Page 2a'!E3</f>
        <v>2019/20</v>
      </c>
      <c r="G7" s="51"/>
      <c r="H7" s="52" t="s">
        <v>466</v>
      </c>
    </row>
    <row r="8" spans="1:8" x14ac:dyDescent="0.2">
      <c r="F8" s="51" t="s">
        <v>40</v>
      </c>
      <c r="G8" s="51"/>
      <c r="H8" s="51" t="s">
        <v>40</v>
      </c>
    </row>
    <row r="9" spans="1:8" x14ac:dyDescent="0.2">
      <c r="A9" s="22" t="s">
        <v>407</v>
      </c>
    </row>
    <row r="10" spans="1:8" ht="15" x14ac:dyDescent="0.25">
      <c r="A10" s="136" t="s">
        <v>120</v>
      </c>
      <c r="B10" s="136"/>
      <c r="C10" s="136"/>
      <c r="D10" s="136"/>
      <c r="E10" s="136"/>
      <c r="F10" s="136">
        <f>'Page 1'!F16</f>
        <v>1186629</v>
      </c>
      <c r="G10" s="136"/>
      <c r="H10" s="136">
        <v>536179</v>
      </c>
    </row>
    <row r="11" spans="1:8" ht="15" x14ac:dyDescent="0.25">
      <c r="A11" s="136" t="s">
        <v>291</v>
      </c>
      <c r="B11" s="136"/>
      <c r="C11" s="136"/>
      <c r="D11" s="136"/>
      <c r="E11" s="136"/>
      <c r="F11" s="136">
        <f>'Page 5'!E24</f>
        <v>965000</v>
      </c>
      <c r="G11" s="136"/>
      <c r="H11" s="136">
        <v>926300</v>
      </c>
    </row>
    <row r="12" spans="1:8" x14ac:dyDescent="0.2">
      <c r="A12" s="72" t="s">
        <v>296</v>
      </c>
      <c r="F12" s="5">
        <f>'Page 5'!E31</f>
        <v>29700</v>
      </c>
      <c r="H12" s="5">
        <v>29700</v>
      </c>
    </row>
    <row r="13" spans="1:8" x14ac:dyDescent="0.2">
      <c r="A13" s="72" t="s">
        <v>408</v>
      </c>
      <c r="F13" s="5">
        <f>-'Page 2'!F17</f>
        <v>-439819</v>
      </c>
      <c r="H13" s="5">
        <f>-439819</f>
        <v>-439819</v>
      </c>
    </row>
    <row r="14" spans="1:8" x14ac:dyDescent="0.2">
      <c r="A14" s="72" t="s">
        <v>409</v>
      </c>
      <c r="F14" s="5">
        <f>-'BAL SHEET CALCS'!BJ22</f>
        <v>-24000</v>
      </c>
      <c r="H14" s="5">
        <f>-24000</f>
        <v>-24000</v>
      </c>
    </row>
    <row r="15" spans="1:8" ht="15" x14ac:dyDescent="0.25">
      <c r="A15" s="136" t="s">
        <v>377</v>
      </c>
      <c r="B15" s="136"/>
      <c r="C15" s="136"/>
      <c r="D15" s="136"/>
      <c r="E15" s="136"/>
      <c r="F15" s="136">
        <f>-'BAL SHEET CALCS'!BJ26</f>
        <v>-1222402</v>
      </c>
      <c r="G15" s="136"/>
      <c r="H15" s="136">
        <v>0</v>
      </c>
    </row>
    <row r="16" spans="1:8" x14ac:dyDescent="0.2">
      <c r="A16" s="72" t="s">
        <v>410</v>
      </c>
      <c r="F16" s="5">
        <f>-'Page 10'!P30</f>
        <v>-47816.840000000004</v>
      </c>
      <c r="H16" s="5">
        <f>-47320</f>
        <v>-47320</v>
      </c>
    </row>
    <row r="17" spans="1:8" ht="15" x14ac:dyDescent="0.25">
      <c r="A17" s="136" t="s">
        <v>411</v>
      </c>
      <c r="B17" s="136"/>
      <c r="C17" s="136"/>
      <c r="D17" s="136"/>
      <c r="E17" s="136"/>
      <c r="F17" s="136">
        <f>'Page 1'!F22</f>
        <v>0</v>
      </c>
      <c r="G17" s="136"/>
      <c r="H17" s="136">
        <f>-497</f>
        <v>-497</v>
      </c>
    </row>
    <row r="19" spans="1:8" ht="13.5" thickBot="1" x14ac:dyDescent="0.25">
      <c r="F19" s="98">
        <f>SUM(F10:F18)</f>
        <v>447291.16</v>
      </c>
      <c r="H19" s="98">
        <f>SUM(H10:H18)</f>
        <v>980543</v>
      </c>
    </row>
    <row r="21" spans="1:8" x14ac:dyDescent="0.2">
      <c r="A21" s="22" t="s">
        <v>412</v>
      </c>
    </row>
    <row r="22" spans="1:8" ht="15" x14ac:dyDescent="0.25">
      <c r="A22" s="136" t="s">
        <v>413</v>
      </c>
      <c r="B22" s="136"/>
      <c r="C22" s="136"/>
      <c r="D22" s="136"/>
      <c r="E22" s="136"/>
      <c r="F22" s="136">
        <f>-'Page 9'!Q11+'Page 9'!Q21</f>
        <v>-529266</v>
      </c>
      <c r="G22" s="136"/>
      <c r="H22" s="136">
        <f>-1457601</f>
        <v>-1457601</v>
      </c>
    </row>
    <row r="23" spans="1:8" ht="15" x14ac:dyDescent="0.25">
      <c r="A23" s="136" t="s">
        <v>414</v>
      </c>
      <c r="B23" s="136"/>
      <c r="C23" s="136"/>
      <c r="D23" s="136"/>
      <c r="E23" s="136"/>
      <c r="F23" s="136">
        <f>-'Page 9'!Q8-'Page 9'!Q9-'Page 9'!Q10</f>
        <v>-647600</v>
      </c>
      <c r="G23" s="136"/>
      <c r="H23" s="136">
        <f>-10000</f>
        <v>-10000</v>
      </c>
    </row>
    <row r="24" spans="1:8" x14ac:dyDescent="0.2">
      <c r="A24" s="72" t="s">
        <v>415</v>
      </c>
      <c r="F24" s="5">
        <f>-'Page 9'!Q14</f>
        <v>-35000</v>
      </c>
      <c r="H24" s="5">
        <f>-35000</f>
        <v>-35000</v>
      </c>
    </row>
    <row r="25" spans="1:8" ht="15" x14ac:dyDescent="0.25">
      <c r="A25" s="136" t="s">
        <v>416</v>
      </c>
      <c r="B25" s="136"/>
      <c r="C25" s="136"/>
      <c r="D25" s="136"/>
      <c r="E25" s="136"/>
      <c r="F25" s="136">
        <f>'Page 9'!Q20</f>
        <v>0</v>
      </c>
      <c r="G25" s="136"/>
      <c r="H25" s="136">
        <v>319552</v>
      </c>
    </row>
    <row r="26" spans="1:8" x14ac:dyDescent="0.2">
      <c r="A26" s="72" t="s">
        <v>424</v>
      </c>
      <c r="F26" s="5">
        <f>'Page 1'!F18</f>
        <v>0</v>
      </c>
      <c r="H26" s="5">
        <v>0</v>
      </c>
    </row>
    <row r="28" spans="1:8" ht="13.5" thickBot="1" x14ac:dyDescent="0.25">
      <c r="F28" s="98">
        <f>SUM(F22:F27)</f>
        <v>-1211866</v>
      </c>
      <c r="H28" s="98">
        <f>SUM(H22:H27)</f>
        <v>-1183049</v>
      </c>
    </row>
    <row r="30" spans="1:8" x14ac:dyDescent="0.2">
      <c r="A30" s="22" t="s">
        <v>417</v>
      </c>
    </row>
    <row r="31" spans="1:8" x14ac:dyDescent="0.2">
      <c r="A31" s="72" t="s">
        <v>340</v>
      </c>
      <c r="F31" s="5">
        <f>'Page 1'!F20</f>
        <v>2200</v>
      </c>
      <c r="H31" s="5">
        <v>2200</v>
      </c>
    </row>
    <row r="32" spans="1:8" x14ac:dyDescent="0.2">
      <c r="A32" s="72" t="s">
        <v>418</v>
      </c>
      <c r="F32" s="5">
        <f>'Page 1'!F21</f>
        <v>-740007</v>
      </c>
      <c r="H32" s="5">
        <f>-740007</f>
        <v>-740007</v>
      </c>
    </row>
    <row r="33" spans="1:8" x14ac:dyDescent="0.2">
      <c r="A33" s="72" t="s">
        <v>342</v>
      </c>
      <c r="F33" s="5">
        <f>'Page 10'!P17</f>
        <v>1000000</v>
      </c>
      <c r="H33" s="5">
        <v>1000000</v>
      </c>
    </row>
    <row r="34" spans="1:8" x14ac:dyDescent="0.2">
      <c r="A34" s="72" t="s">
        <v>419</v>
      </c>
      <c r="F34" s="5">
        <f>-'Page 10'!P27</f>
        <v>-175000</v>
      </c>
      <c r="H34" s="5">
        <f>-175000</f>
        <v>-175000</v>
      </c>
    </row>
    <row r="36" spans="1:8" ht="13.5" thickBot="1" x14ac:dyDescent="0.25">
      <c r="F36" s="98">
        <f>SUM(F31:F35)</f>
        <v>87193</v>
      </c>
      <c r="H36" s="98">
        <f>SUM(H31:H35)</f>
        <v>87193</v>
      </c>
    </row>
    <row r="39" spans="1:8" ht="13.5" thickBot="1" x14ac:dyDescent="0.25">
      <c r="A39" s="22" t="s">
        <v>420</v>
      </c>
      <c r="F39" s="25">
        <f>F19+F28+F36</f>
        <v>-677381.84000000008</v>
      </c>
      <c r="H39" s="25">
        <f>H19+H28+H36</f>
        <v>-115313</v>
      </c>
    </row>
    <row r="40" spans="1:8" ht="13.5" thickTop="1" x14ac:dyDescent="0.2"/>
    <row r="42" spans="1:8" x14ac:dyDescent="0.2">
      <c r="A42" s="72" t="s">
        <v>421</v>
      </c>
      <c r="F42" s="5">
        <f>'BAL SHEET CALCS'!BK23</f>
        <v>1631343.1600000001</v>
      </c>
      <c r="H42" s="5">
        <v>1097760</v>
      </c>
    </row>
    <row r="43" spans="1:8" x14ac:dyDescent="0.2">
      <c r="A43" s="72" t="s">
        <v>422</v>
      </c>
      <c r="F43" s="5">
        <f>'BAL SHEET CALCS'!BI23</f>
        <v>2308725</v>
      </c>
      <c r="H43" s="5">
        <v>1213073</v>
      </c>
    </row>
    <row r="44" spans="1:8" ht="13.5" thickBot="1" x14ac:dyDescent="0.25">
      <c r="F44" s="25">
        <f>F42-F43</f>
        <v>-677381.83999999985</v>
      </c>
      <c r="H44" s="25">
        <f>H42-H43</f>
        <v>-115313</v>
      </c>
    </row>
    <row r="45" spans="1:8" ht="13.5" thickTop="1" x14ac:dyDescent="0.2"/>
    <row r="49" spans="10:10" x14ac:dyDescent="0.2">
      <c r="J49" s="7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16" workbookViewId="0">
      <selection activeCell="I15" sqref="I15"/>
    </sheetView>
  </sheetViews>
  <sheetFormatPr defaultRowHeight="12.75" x14ac:dyDescent="0.2"/>
  <cols>
    <col min="5" max="5" width="12.85546875" customWidth="1"/>
    <col min="7" max="7" width="13" customWidth="1"/>
  </cols>
  <sheetData>
    <row r="1" spans="1:9" ht="15.75" x14ac:dyDescent="0.25">
      <c r="A1" s="2" t="s">
        <v>27</v>
      </c>
    </row>
    <row r="2" spans="1:9" ht="15.75" x14ac:dyDescent="0.25">
      <c r="A2" s="2" t="s">
        <v>400</v>
      </c>
    </row>
    <row r="4" spans="1:9" x14ac:dyDescent="0.2">
      <c r="E4" s="12" t="s">
        <v>568</v>
      </c>
      <c r="F4" s="12"/>
      <c r="G4" s="12" t="s">
        <v>570</v>
      </c>
    </row>
    <row r="5" spans="1:9" x14ac:dyDescent="0.2">
      <c r="E5" s="12" t="s">
        <v>256</v>
      </c>
      <c r="F5" s="12"/>
      <c r="G5" s="12" t="s">
        <v>256</v>
      </c>
    </row>
    <row r="6" spans="1:9" x14ac:dyDescent="0.2">
      <c r="E6" s="107"/>
      <c r="F6" s="107"/>
      <c r="G6" s="107"/>
    </row>
    <row r="7" spans="1:9" x14ac:dyDescent="0.2">
      <c r="E7" s="45" t="str">
        <f>'Page 2a'!E3</f>
        <v>2019/20</v>
      </c>
      <c r="F7" s="12"/>
      <c r="G7" s="45" t="s">
        <v>466</v>
      </c>
    </row>
    <row r="8" spans="1:9" x14ac:dyDescent="0.2">
      <c r="E8" s="108" t="s">
        <v>40</v>
      </c>
      <c r="F8" s="107"/>
      <c r="G8" s="108" t="s">
        <v>40</v>
      </c>
    </row>
    <row r="9" spans="1:9" x14ac:dyDescent="0.2">
      <c r="A9" s="1" t="s">
        <v>63</v>
      </c>
    </row>
    <row r="10" spans="1:9" x14ac:dyDescent="0.2">
      <c r="A10" s="69" t="s">
        <v>283</v>
      </c>
      <c r="E10" s="5">
        <f>'Page 6'!Q7+'Page 6'!Q12</f>
        <v>716300</v>
      </c>
      <c r="G10" s="5">
        <v>716300</v>
      </c>
      <c r="I10" s="69"/>
    </row>
    <row r="11" spans="1:9" x14ac:dyDescent="0.2">
      <c r="A11" t="s">
        <v>0</v>
      </c>
      <c r="E11" s="5">
        <f>'Page 6'!Q8</f>
        <v>68900</v>
      </c>
      <c r="G11" s="5">
        <v>68900</v>
      </c>
      <c r="I11" s="69"/>
    </row>
    <row r="12" spans="1:9" x14ac:dyDescent="0.2">
      <c r="A12" s="69" t="s">
        <v>284</v>
      </c>
      <c r="B12" s="69"/>
      <c r="C12" s="69"/>
      <c r="D12" s="69"/>
      <c r="E12" s="70">
        <f>'Page 6'!Q9</f>
        <v>56100</v>
      </c>
      <c r="F12" s="11"/>
      <c r="G12" s="10">
        <v>56100</v>
      </c>
      <c r="H12" s="11"/>
      <c r="I12" s="69"/>
    </row>
    <row r="13" spans="1:9" x14ac:dyDescent="0.2">
      <c r="A13" s="69" t="s">
        <v>285</v>
      </c>
      <c r="E13" s="6">
        <f>'Page 6'!Q10</f>
        <v>1700</v>
      </c>
      <c r="G13" s="6">
        <v>1700</v>
      </c>
      <c r="I13" s="69"/>
    </row>
    <row r="14" spans="1:9" x14ac:dyDescent="0.2">
      <c r="E14" s="5">
        <f>SUM(E10:E13)</f>
        <v>843000</v>
      </c>
      <c r="G14" s="5">
        <f>SUM(G10:G13)</f>
        <v>843000</v>
      </c>
    </row>
    <row r="15" spans="1:9" x14ac:dyDescent="0.2">
      <c r="A15" s="69" t="s">
        <v>286</v>
      </c>
      <c r="E15" s="5">
        <f>'Page 6'!Q13</f>
        <v>30000</v>
      </c>
      <c r="G15" s="5">
        <v>30000</v>
      </c>
    </row>
    <row r="16" spans="1:9" x14ac:dyDescent="0.2">
      <c r="A16" s="69" t="s">
        <v>287</v>
      </c>
      <c r="E16" s="5">
        <f>'Page 6'!Q14</f>
        <v>0</v>
      </c>
      <c r="G16" s="5">
        <v>0</v>
      </c>
    </row>
    <row r="17" spans="1:9" x14ac:dyDescent="0.2">
      <c r="A17" s="69" t="s">
        <v>288</v>
      </c>
      <c r="E17" s="5">
        <f>'Page 6'!Q15</f>
        <v>29000</v>
      </c>
      <c r="G17" s="5">
        <v>29000</v>
      </c>
    </row>
    <row r="18" spans="1:9" x14ac:dyDescent="0.2">
      <c r="E18" s="24">
        <f>SUM(E14:E17)</f>
        <v>902000</v>
      </c>
      <c r="F18" s="1"/>
      <c r="G18" s="24">
        <f>SUM(G14:G17)</f>
        <v>902000</v>
      </c>
      <c r="I18" s="5"/>
    </row>
    <row r="19" spans="1:9" x14ac:dyDescent="0.2">
      <c r="A19" s="1" t="s">
        <v>289</v>
      </c>
      <c r="G19" s="5"/>
    </row>
    <row r="20" spans="1:9" x14ac:dyDescent="0.2">
      <c r="A20" s="69" t="s">
        <v>57</v>
      </c>
      <c r="E20" s="5">
        <f>'Page 6'!Q18</f>
        <v>396800</v>
      </c>
      <c r="G20" s="5">
        <v>396800</v>
      </c>
      <c r="I20" s="5"/>
    </row>
    <row r="21" spans="1:9" x14ac:dyDescent="0.2">
      <c r="A21" s="69" t="s">
        <v>290</v>
      </c>
      <c r="E21" s="5">
        <f>'Page 6'!Q19</f>
        <v>232200</v>
      </c>
      <c r="G21" s="5">
        <v>232200</v>
      </c>
      <c r="I21" s="72"/>
    </row>
    <row r="22" spans="1:9" ht="15" x14ac:dyDescent="0.25">
      <c r="A22" s="135" t="s">
        <v>59</v>
      </c>
      <c r="B22" s="135"/>
      <c r="C22" s="135"/>
      <c r="D22" s="135"/>
      <c r="E22" s="136">
        <f>'Page 6'!Q20</f>
        <v>91200</v>
      </c>
      <c r="F22" s="135"/>
      <c r="G22" s="136">
        <v>728800</v>
      </c>
      <c r="I22" s="72"/>
    </row>
    <row r="23" spans="1:9" x14ac:dyDescent="0.2">
      <c r="A23" s="69" t="s">
        <v>56</v>
      </c>
      <c r="E23" s="5">
        <f>'Page 6'!Q21</f>
        <v>54540</v>
      </c>
      <c r="G23" s="5">
        <v>54540</v>
      </c>
      <c r="I23" s="72"/>
    </row>
    <row r="24" spans="1:9" ht="15" x14ac:dyDescent="0.25">
      <c r="A24" s="135" t="s">
        <v>291</v>
      </c>
      <c r="B24" s="135"/>
      <c r="C24" s="135"/>
      <c r="D24" s="135"/>
      <c r="E24" s="136">
        <f>'Page 6'!Q22</f>
        <v>965000</v>
      </c>
      <c r="F24" s="135"/>
      <c r="G24" s="136">
        <v>926300</v>
      </c>
      <c r="I24" s="5"/>
    </row>
    <row r="25" spans="1:9" x14ac:dyDescent="0.2">
      <c r="E25" s="24">
        <f>SUM(E20:E24)</f>
        <v>1739740</v>
      </c>
      <c r="F25" s="1"/>
      <c r="G25" s="24">
        <f>SUM(G20:G24)</f>
        <v>2338640</v>
      </c>
    </row>
    <row r="26" spans="1:9" x14ac:dyDescent="0.2">
      <c r="A26" s="1" t="s">
        <v>292</v>
      </c>
      <c r="G26" s="5"/>
    </row>
    <row r="27" spans="1:9" x14ac:dyDescent="0.2">
      <c r="A27" s="69" t="s">
        <v>293</v>
      </c>
      <c r="E27" s="5">
        <f>'Page 6'!Q25</f>
        <v>9000</v>
      </c>
      <c r="F27" s="69"/>
      <c r="G27" s="5">
        <v>9000</v>
      </c>
    </row>
    <row r="28" spans="1:9" x14ac:dyDescent="0.2">
      <c r="A28" s="69" t="s">
        <v>294</v>
      </c>
      <c r="E28" s="5">
        <f>'Page 6'!Q26</f>
        <v>14500</v>
      </c>
      <c r="G28" s="5">
        <v>14500</v>
      </c>
    </row>
    <row r="29" spans="1:9" x14ac:dyDescent="0.2">
      <c r="A29" s="69" t="s">
        <v>295</v>
      </c>
      <c r="E29" s="5">
        <f>'Page 6'!Q27</f>
        <v>15000</v>
      </c>
      <c r="G29" s="5">
        <v>15000</v>
      </c>
    </row>
    <row r="30" spans="1:9" x14ac:dyDescent="0.2">
      <c r="A30" s="69" t="s">
        <v>483</v>
      </c>
      <c r="E30" s="5">
        <f>'Page 6'!Q28</f>
        <v>2300</v>
      </c>
      <c r="G30" s="5">
        <v>2300</v>
      </c>
    </row>
    <row r="31" spans="1:9" x14ac:dyDescent="0.2">
      <c r="A31" s="69" t="s">
        <v>296</v>
      </c>
      <c r="B31" s="69"/>
      <c r="C31" s="69"/>
      <c r="D31" s="69"/>
      <c r="E31" s="72">
        <f>'Page 6'!Q29</f>
        <v>29700</v>
      </c>
      <c r="G31" s="5">
        <v>29700</v>
      </c>
      <c r="I31" s="69"/>
    </row>
    <row r="32" spans="1:9" x14ac:dyDescent="0.2">
      <c r="A32" s="69" t="s">
        <v>297</v>
      </c>
      <c r="E32" s="5">
        <f>'Page 6'!Q30</f>
        <v>10200</v>
      </c>
      <c r="G32" s="5">
        <v>10200</v>
      </c>
    </row>
    <row r="33" spans="1:9" x14ac:dyDescent="0.2">
      <c r="A33" s="69" t="s">
        <v>298</v>
      </c>
      <c r="E33" s="5">
        <f>'Page 6'!Q31</f>
        <v>10000</v>
      </c>
      <c r="G33" s="5">
        <v>10000</v>
      </c>
      <c r="I33" s="69"/>
    </row>
    <row r="34" spans="1:9" x14ac:dyDescent="0.2">
      <c r="A34" s="69" t="s">
        <v>299</v>
      </c>
      <c r="E34" s="5">
        <f>'Page 6'!Q32</f>
        <v>12500</v>
      </c>
      <c r="G34" s="5">
        <v>12500</v>
      </c>
    </row>
    <row r="35" spans="1:9" x14ac:dyDescent="0.2">
      <c r="A35" s="69" t="s">
        <v>300</v>
      </c>
      <c r="E35" s="5">
        <f>'Page 6'!Q33</f>
        <v>66000</v>
      </c>
      <c r="G35" s="5">
        <v>66000</v>
      </c>
      <c r="I35" s="69"/>
    </row>
    <row r="36" spans="1:9" x14ac:dyDescent="0.2">
      <c r="A36" s="69" t="s">
        <v>301</v>
      </c>
      <c r="E36" s="5">
        <f>'Page 6'!Q34</f>
        <v>16000</v>
      </c>
      <c r="G36" s="5">
        <v>16000</v>
      </c>
      <c r="I36" s="69"/>
    </row>
    <row r="37" spans="1:9" x14ac:dyDescent="0.2">
      <c r="A37" s="69" t="s">
        <v>302</v>
      </c>
      <c r="E37" s="5">
        <f>'Page 6'!Q35</f>
        <v>25000</v>
      </c>
      <c r="G37" s="5">
        <v>25000</v>
      </c>
      <c r="I37" s="69"/>
    </row>
    <row r="38" spans="1:9" x14ac:dyDescent="0.2">
      <c r="A38" s="69" t="s">
        <v>303</v>
      </c>
      <c r="E38" s="5">
        <f>'Page 6'!Q36</f>
        <v>5000</v>
      </c>
      <c r="G38" s="5">
        <v>5000</v>
      </c>
    </row>
    <row r="39" spans="1:9" x14ac:dyDescent="0.2">
      <c r="A39" s="69" t="s">
        <v>304</v>
      </c>
      <c r="E39" s="5">
        <f>'Page 6'!Q37</f>
        <v>41000</v>
      </c>
      <c r="G39" s="5">
        <v>41000</v>
      </c>
    </row>
    <row r="40" spans="1:9" x14ac:dyDescent="0.2">
      <c r="A40" s="69" t="s">
        <v>305</v>
      </c>
      <c r="E40" s="5">
        <f>'Page 6'!Q38</f>
        <v>500</v>
      </c>
      <c r="G40" s="5">
        <v>500</v>
      </c>
    </row>
    <row r="41" spans="1:9" x14ac:dyDescent="0.2">
      <c r="A41" s="69" t="s">
        <v>306</v>
      </c>
      <c r="E41" s="5">
        <f>'Page 6'!Q39</f>
        <v>5000</v>
      </c>
      <c r="G41" s="5">
        <v>5000</v>
      </c>
    </row>
    <row r="42" spans="1:9" x14ac:dyDescent="0.2">
      <c r="A42" s="69" t="s">
        <v>307</v>
      </c>
      <c r="E42" s="5">
        <f>'Page 6'!Q40</f>
        <v>7000</v>
      </c>
      <c r="G42" s="5">
        <v>7000</v>
      </c>
    </row>
    <row r="43" spans="1:9" x14ac:dyDescent="0.2">
      <c r="A43" s="69" t="s">
        <v>308</v>
      </c>
      <c r="E43" s="5">
        <f>'Page 6'!Q41</f>
        <v>2000</v>
      </c>
      <c r="G43" s="5">
        <v>2000</v>
      </c>
    </row>
    <row r="44" spans="1:9" x14ac:dyDescent="0.2">
      <c r="A44" s="69" t="s">
        <v>309</v>
      </c>
      <c r="E44" s="5">
        <f>'Page 6'!Q42</f>
        <v>16200</v>
      </c>
      <c r="G44" s="5">
        <v>16200</v>
      </c>
    </row>
    <row r="45" spans="1:9" x14ac:dyDescent="0.2">
      <c r="A45" s="69" t="s">
        <v>310</v>
      </c>
      <c r="E45" s="5">
        <f>'Page 6'!Q43</f>
        <v>10000</v>
      </c>
      <c r="G45" s="5">
        <v>10000</v>
      </c>
      <c r="I45" s="69"/>
    </row>
    <row r="46" spans="1:9" x14ac:dyDescent="0.2">
      <c r="A46" s="69" t="s">
        <v>311</v>
      </c>
      <c r="E46" s="5">
        <f>'Page 6'!Q44</f>
        <v>11600</v>
      </c>
      <c r="G46" s="5">
        <v>11600</v>
      </c>
      <c r="I46" s="69"/>
    </row>
    <row r="47" spans="1:9" x14ac:dyDescent="0.2">
      <c r="A47" s="69" t="s">
        <v>312</v>
      </c>
      <c r="E47" s="5">
        <f>'Page 6'!Q45</f>
        <v>13000</v>
      </c>
      <c r="G47" s="5">
        <v>13000</v>
      </c>
    </row>
    <row r="48" spans="1:9" x14ac:dyDescent="0.2">
      <c r="A48" s="69" t="s">
        <v>313</v>
      </c>
      <c r="E48" s="5">
        <f>'Page 6'!Q46</f>
        <v>11500</v>
      </c>
      <c r="G48" s="5">
        <v>11500</v>
      </c>
    </row>
    <row r="49" spans="1:9" x14ac:dyDescent="0.2">
      <c r="E49" s="24">
        <f>SUM(E27:E48)</f>
        <v>333000</v>
      </c>
      <c r="F49" s="1"/>
      <c r="G49" s="24">
        <f>SUM(G27:G48)</f>
        <v>333000</v>
      </c>
    </row>
    <row r="50" spans="1:9" x14ac:dyDescent="0.2">
      <c r="A50" s="1" t="s">
        <v>202</v>
      </c>
      <c r="G50" s="5"/>
    </row>
    <row r="51" spans="1:9" x14ac:dyDescent="0.2">
      <c r="A51" s="69" t="s">
        <v>314</v>
      </c>
      <c r="E51" s="5">
        <f>'Page 6'!Q49</f>
        <v>18500</v>
      </c>
      <c r="G51" s="5">
        <v>18500</v>
      </c>
      <c r="I51" s="69"/>
    </row>
    <row r="52" spans="1:9" x14ac:dyDescent="0.2">
      <c r="A52" s="69" t="s">
        <v>60</v>
      </c>
      <c r="E52" s="5">
        <f>'Page 6'!Q50</f>
        <v>2500</v>
      </c>
      <c r="G52" s="5">
        <v>2500</v>
      </c>
    </row>
    <row r="53" spans="1:9" x14ac:dyDescent="0.2">
      <c r="A53" s="69" t="s">
        <v>61</v>
      </c>
      <c r="E53" s="5">
        <f>'Page 6'!Q51</f>
        <v>678800</v>
      </c>
      <c r="G53" s="5">
        <v>678800</v>
      </c>
      <c r="I53" s="69"/>
    </row>
    <row r="54" spans="1:9" x14ac:dyDescent="0.2">
      <c r="E54" s="24">
        <f>'Page 6'!Q52</f>
        <v>699800</v>
      </c>
      <c r="F54" s="1"/>
      <c r="G54" s="24">
        <f>SUM(G51:G53)</f>
        <v>699800</v>
      </c>
    </row>
    <row r="55" spans="1:9" x14ac:dyDescent="0.2">
      <c r="G55" s="5"/>
    </row>
    <row r="56" spans="1:9" x14ac:dyDescent="0.2">
      <c r="G56" s="5"/>
    </row>
    <row r="57" spans="1:9" ht="13.5" thickBot="1" x14ac:dyDescent="0.25">
      <c r="A57" s="1" t="s">
        <v>3</v>
      </c>
      <c r="E57" s="25">
        <f>'Page 6'!Q55</f>
        <v>3674540</v>
      </c>
      <c r="F57" s="1"/>
      <c r="G57" s="25">
        <f>G18+G25+G49+G54</f>
        <v>4273440</v>
      </c>
    </row>
    <row r="58" spans="1:9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Footer>&amp;CPage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Page 1</vt:lpstr>
      <vt:lpstr>Page 2</vt:lpstr>
      <vt:lpstr>Page 2a</vt:lpstr>
      <vt:lpstr>Page 2b</vt:lpstr>
      <vt:lpstr>Page 3</vt:lpstr>
      <vt:lpstr>Page 3a</vt:lpstr>
      <vt:lpstr>BAL SHEET CALCS</vt:lpstr>
      <vt:lpstr>Page 4</vt:lpstr>
      <vt:lpstr>Page 5</vt:lpstr>
      <vt:lpstr>Page 6</vt:lpstr>
      <vt:lpstr>Page 7</vt:lpstr>
      <vt:lpstr>Page 8</vt:lpstr>
      <vt:lpstr>Page 9</vt:lpstr>
      <vt:lpstr>Page 10</vt:lpstr>
      <vt:lpstr>CALCS</vt:lpstr>
      <vt:lpstr>Page 11</vt:lpstr>
      <vt:lpstr>Page 12</vt:lpstr>
      <vt:lpstr>Page 13</vt:lpstr>
      <vt:lpstr>'BAL SHEET CALCS'!Print_Area</vt:lpstr>
      <vt:lpstr>CALCS!Print_Area</vt:lpstr>
      <vt:lpstr>'Page 10'!Print_Area</vt:lpstr>
      <vt:lpstr>'Page 13'!Print_Area</vt:lpstr>
      <vt:lpstr>'Page 3'!Print_Area</vt:lpstr>
      <vt:lpstr>'Page 6'!Print_Area</vt:lpstr>
      <vt:lpstr>'Page 8'!Print_Area</vt:lpstr>
      <vt:lpstr>'Page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owner</cp:lastModifiedBy>
  <cp:lastPrinted>2019-10-30T11:08:38Z</cp:lastPrinted>
  <dcterms:created xsi:type="dcterms:W3CDTF">2004-12-14T09:37:49Z</dcterms:created>
  <dcterms:modified xsi:type="dcterms:W3CDTF">2019-10-30T11:27:38Z</dcterms:modified>
</cp:coreProperties>
</file>